
<file path=[Content_Types].xml><?xml version="1.0" encoding="utf-8"?>
<Types xmlns="http://schemas.openxmlformats.org/package/2006/content-types">
  <Default Extension="xml" ContentType="application/xml"/>
  <Default Extension="jpeg" ContentType="image/jpe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209"/>
  <workbookPr/>
  <mc:AlternateContent xmlns:mc="http://schemas.openxmlformats.org/markup-compatibility/2006">
    <mc:Choice Requires="x15">
      <x15ac:absPath xmlns:x15ac="http://schemas.microsoft.com/office/spreadsheetml/2010/11/ac" url="/Users/rmss/Desktop/LIGO/18xMar/"/>
    </mc:Choice>
  </mc:AlternateContent>
  <bookViews>
    <workbookView xWindow="5380" yWindow="440" windowWidth="23420" windowHeight="17460" tabRatio="500" activeTab="1"/>
  </bookViews>
  <sheets>
    <sheet name="Models" sheetId="1" r:id="rId1"/>
    <sheet name="Full Weighting calculation" sheetId="2" r:id="rId2"/>
    <sheet name="No optic BRDF, for stray beams" sheetId="6" r:id="rId3"/>
  </sheets>
  <calcPr calcId="150000"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V22" i="6" l="1"/>
  <c r="M34" i="6"/>
  <c r="E25" i="6"/>
  <c r="I25" i="6"/>
  <c r="K25" i="6"/>
  <c r="M25" i="6"/>
  <c r="N34" i="6"/>
  <c r="I32" i="6"/>
  <c r="K32" i="6"/>
  <c r="M32" i="6"/>
  <c r="N32" i="6"/>
  <c r="V15" i="6"/>
  <c r="E31" i="6"/>
  <c r="I31" i="6"/>
  <c r="K31" i="6"/>
  <c r="M31" i="6"/>
  <c r="N31" i="6"/>
  <c r="V25" i="6"/>
  <c r="E30" i="6"/>
  <c r="I30" i="6"/>
  <c r="K30" i="6"/>
  <c r="M30" i="6"/>
  <c r="N30" i="6"/>
  <c r="V23" i="6"/>
  <c r="E29" i="6"/>
  <c r="I29" i="6"/>
  <c r="K29" i="6"/>
  <c r="M29" i="6"/>
  <c r="N29" i="6"/>
  <c r="V27" i="6"/>
  <c r="E28" i="6"/>
  <c r="I28" i="6"/>
  <c r="K28" i="6"/>
  <c r="M28" i="6"/>
  <c r="N28" i="6"/>
  <c r="V26" i="6"/>
  <c r="E27" i="6"/>
  <c r="I27" i="6"/>
  <c r="K27" i="6"/>
  <c r="M27" i="6"/>
  <c r="N27" i="6"/>
  <c r="V14" i="6"/>
  <c r="E26" i="6"/>
  <c r="I26" i="6"/>
  <c r="K26" i="6"/>
  <c r="M26" i="6"/>
  <c r="N26" i="6"/>
  <c r="V8" i="6"/>
  <c r="N25" i="6"/>
  <c r="V4" i="6"/>
  <c r="E24" i="6"/>
  <c r="I24" i="6"/>
  <c r="K24" i="6"/>
  <c r="M24" i="6"/>
  <c r="N24" i="6"/>
  <c r="V9" i="6"/>
  <c r="E23" i="6"/>
  <c r="I23" i="6"/>
  <c r="K23" i="6"/>
  <c r="M23" i="6"/>
  <c r="N23" i="6"/>
  <c r="V18" i="6"/>
  <c r="E22" i="6"/>
  <c r="I22" i="6"/>
  <c r="K22" i="6"/>
  <c r="M22" i="6"/>
  <c r="N22" i="6"/>
  <c r="V19" i="6"/>
  <c r="E21" i="6"/>
  <c r="I21" i="6"/>
  <c r="K21" i="6"/>
  <c r="M21" i="6"/>
  <c r="N21" i="6"/>
  <c r="V6" i="6"/>
  <c r="I20" i="6"/>
  <c r="K20" i="6"/>
  <c r="M20" i="6"/>
  <c r="N20" i="6"/>
  <c r="V7" i="6"/>
  <c r="E19" i="6"/>
  <c r="I19" i="6"/>
  <c r="K19" i="6"/>
  <c r="M19" i="6"/>
  <c r="N19" i="6"/>
  <c r="V5" i="6"/>
  <c r="E18" i="6"/>
  <c r="I18" i="6"/>
  <c r="K18" i="6"/>
  <c r="M18" i="6"/>
  <c r="N18" i="6"/>
  <c r="V12" i="6"/>
  <c r="E17" i="6"/>
  <c r="I17" i="6"/>
  <c r="K17" i="6"/>
  <c r="M17" i="6"/>
  <c r="N17" i="6"/>
  <c r="V3" i="6"/>
  <c r="E16" i="6"/>
  <c r="I16" i="6"/>
  <c r="K16" i="6"/>
  <c r="M16" i="6"/>
  <c r="N16" i="6"/>
  <c r="V21" i="6"/>
  <c r="E15" i="6"/>
  <c r="I15" i="6"/>
  <c r="K15" i="6"/>
  <c r="M15" i="6"/>
  <c r="N15" i="6"/>
  <c r="V16" i="6"/>
  <c r="E14" i="6"/>
  <c r="I14" i="6"/>
  <c r="K14" i="6"/>
  <c r="M14" i="6"/>
  <c r="N14" i="6"/>
  <c r="V10" i="6"/>
  <c r="E13" i="6"/>
  <c r="I13" i="6"/>
  <c r="K13" i="6"/>
  <c r="M13" i="6"/>
  <c r="N13" i="6"/>
  <c r="V17" i="6"/>
  <c r="E12" i="6"/>
  <c r="I12" i="6"/>
  <c r="K12" i="6"/>
  <c r="M12" i="6"/>
  <c r="N12" i="6"/>
  <c r="V13" i="6"/>
  <c r="E11" i="6"/>
  <c r="I11" i="6"/>
  <c r="K11" i="6"/>
  <c r="M11" i="6"/>
  <c r="N11" i="6"/>
  <c r="V24" i="6"/>
  <c r="E10" i="6"/>
  <c r="I10" i="6"/>
  <c r="K10" i="6"/>
  <c r="M10" i="6"/>
  <c r="N10" i="6"/>
  <c r="V20" i="6"/>
  <c r="E9" i="6"/>
  <c r="I9" i="6"/>
  <c r="K9" i="6"/>
  <c r="M9" i="6"/>
  <c r="N9" i="6"/>
  <c r="V11" i="6"/>
  <c r="E8" i="6"/>
  <c r="I8" i="6"/>
  <c r="K8" i="6"/>
  <c r="M8" i="6"/>
  <c r="N8" i="6"/>
  <c r="V29" i="6"/>
  <c r="E7" i="6"/>
  <c r="I7" i="6"/>
  <c r="K7" i="6"/>
  <c r="M7" i="6"/>
  <c r="N7" i="6"/>
  <c r="V32" i="6"/>
  <c r="E6" i="6"/>
  <c r="I6" i="6"/>
  <c r="K6" i="6"/>
  <c r="M6" i="6"/>
  <c r="N6" i="6"/>
  <c r="V30" i="6"/>
  <c r="E5" i="6"/>
  <c r="I5" i="6"/>
  <c r="K5" i="6"/>
  <c r="M5" i="6"/>
  <c r="N5" i="6"/>
  <c r="V28" i="6"/>
  <c r="E4" i="6"/>
  <c r="I4" i="6"/>
  <c r="K4" i="6"/>
  <c r="M4" i="6"/>
  <c r="N4" i="6"/>
  <c r="V31" i="6"/>
  <c r="E3" i="6"/>
  <c r="I3" i="6"/>
  <c r="K3" i="6"/>
  <c r="M3" i="6"/>
  <c r="N3" i="6"/>
  <c r="V6" i="2"/>
  <c r="V7" i="2"/>
  <c r="V4" i="2"/>
  <c r="V3" i="2"/>
  <c r="V8" i="2"/>
  <c r="V9" i="2"/>
  <c r="V10" i="2"/>
  <c r="V11" i="2"/>
  <c r="V14" i="2"/>
  <c r="V21" i="2"/>
  <c r="V26" i="2"/>
  <c r="V17" i="2"/>
  <c r="V23" i="2"/>
  <c r="V19" i="2"/>
  <c r="V12" i="2"/>
  <c r="V24" i="2"/>
  <c r="V25" i="2"/>
  <c r="V22" i="2"/>
  <c r="V13" i="2"/>
  <c r="V15" i="2"/>
  <c r="V16" i="2"/>
  <c r="V18" i="2"/>
  <c r="V20" i="2"/>
  <c r="V27" i="2"/>
  <c r="V28" i="2"/>
  <c r="V29" i="2"/>
  <c r="V33" i="2"/>
  <c r="V30" i="2"/>
  <c r="V31" i="2"/>
  <c r="V32" i="2"/>
  <c r="V5" i="2"/>
  <c r="L4" i="2"/>
  <c r="E4" i="2"/>
  <c r="I4" i="2"/>
  <c r="K4" i="2"/>
  <c r="M4" i="2"/>
  <c r="L5" i="2"/>
  <c r="E5" i="2"/>
  <c r="I5" i="2"/>
  <c r="K5" i="2"/>
  <c r="M5" i="2"/>
  <c r="L6" i="2"/>
  <c r="E6" i="2"/>
  <c r="I6" i="2"/>
  <c r="K6" i="2"/>
  <c r="M6" i="2"/>
  <c r="L7" i="2"/>
  <c r="E7" i="2"/>
  <c r="I7" i="2"/>
  <c r="K7" i="2"/>
  <c r="M7" i="2"/>
  <c r="L8" i="2"/>
  <c r="E8" i="2"/>
  <c r="I8" i="2"/>
  <c r="K8" i="2"/>
  <c r="M8" i="2"/>
  <c r="L9" i="2"/>
  <c r="E9" i="2"/>
  <c r="I9" i="2"/>
  <c r="K9" i="2"/>
  <c r="M9" i="2"/>
  <c r="L10" i="2"/>
  <c r="E10" i="2"/>
  <c r="I10" i="2"/>
  <c r="K10" i="2"/>
  <c r="M10" i="2"/>
  <c r="L11" i="2"/>
  <c r="E11" i="2"/>
  <c r="I11" i="2"/>
  <c r="K11" i="2"/>
  <c r="M11" i="2"/>
  <c r="L12" i="2"/>
  <c r="E12" i="2"/>
  <c r="I12" i="2"/>
  <c r="K12" i="2"/>
  <c r="M12" i="2"/>
  <c r="L13" i="2"/>
  <c r="E13" i="2"/>
  <c r="I13" i="2"/>
  <c r="K13" i="2"/>
  <c r="M13" i="2"/>
  <c r="L14" i="2"/>
  <c r="E14" i="2"/>
  <c r="I14" i="2"/>
  <c r="K14" i="2"/>
  <c r="M14" i="2"/>
  <c r="L15" i="2"/>
  <c r="E15" i="2"/>
  <c r="I15" i="2"/>
  <c r="K15" i="2"/>
  <c r="M15" i="2"/>
  <c r="L16" i="2"/>
  <c r="E16" i="2"/>
  <c r="I16" i="2"/>
  <c r="K16" i="2"/>
  <c r="M16" i="2"/>
  <c r="L17" i="2"/>
  <c r="E17" i="2"/>
  <c r="I17" i="2"/>
  <c r="K17" i="2"/>
  <c r="M17" i="2"/>
  <c r="L18" i="2"/>
  <c r="E18" i="2"/>
  <c r="I18" i="2"/>
  <c r="K18" i="2"/>
  <c r="M18" i="2"/>
  <c r="L19" i="2"/>
  <c r="E19" i="2"/>
  <c r="I19" i="2"/>
  <c r="K19" i="2"/>
  <c r="M19" i="2"/>
  <c r="L20" i="2"/>
  <c r="E20" i="2"/>
  <c r="I20" i="2"/>
  <c r="K20" i="2"/>
  <c r="M20" i="2"/>
  <c r="L21" i="2"/>
  <c r="I21" i="2"/>
  <c r="K21" i="2"/>
  <c r="M21" i="2"/>
  <c r="L22" i="2"/>
  <c r="E22" i="2"/>
  <c r="I22" i="2"/>
  <c r="K22" i="2"/>
  <c r="M22" i="2"/>
  <c r="L23" i="2"/>
  <c r="E23" i="2"/>
  <c r="I23" i="2"/>
  <c r="K23" i="2"/>
  <c r="M23" i="2"/>
  <c r="L24" i="2"/>
  <c r="E24" i="2"/>
  <c r="I24" i="2"/>
  <c r="K24" i="2"/>
  <c r="M24" i="2"/>
  <c r="L25" i="2"/>
  <c r="E25" i="2"/>
  <c r="I25" i="2"/>
  <c r="K25" i="2"/>
  <c r="M25" i="2"/>
  <c r="L26" i="2"/>
  <c r="E26" i="2"/>
  <c r="I26" i="2"/>
  <c r="K26" i="2"/>
  <c r="M26" i="2"/>
  <c r="L27" i="2"/>
  <c r="E27" i="2"/>
  <c r="I27" i="2"/>
  <c r="K27" i="2"/>
  <c r="M27" i="2"/>
  <c r="L28" i="2"/>
  <c r="E28" i="2"/>
  <c r="I28" i="2"/>
  <c r="K28" i="2"/>
  <c r="M28" i="2"/>
  <c r="L29" i="2"/>
  <c r="E29" i="2"/>
  <c r="I29" i="2"/>
  <c r="K29" i="2"/>
  <c r="M29" i="2"/>
  <c r="L30" i="2"/>
  <c r="M30" i="2"/>
  <c r="L31" i="2"/>
  <c r="E31" i="2"/>
  <c r="I31" i="2"/>
  <c r="K31" i="2"/>
  <c r="M31" i="2"/>
  <c r="L32" i="2"/>
  <c r="E32" i="2"/>
  <c r="I32" i="2"/>
  <c r="K32" i="2"/>
  <c r="M32" i="2"/>
  <c r="L33" i="2"/>
  <c r="E33" i="2"/>
  <c r="I33" i="2"/>
  <c r="K33" i="2"/>
  <c r="M33" i="2"/>
  <c r="L34" i="2"/>
  <c r="I34" i="2"/>
  <c r="K34" i="2"/>
  <c r="M34" i="2"/>
  <c r="L36" i="2"/>
  <c r="M36" i="2"/>
  <c r="L3" i="2"/>
  <c r="E3" i="2"/>
  <c r="I3" i="2"/>
  <c r="K3" i="2"/>
  <c r="M3" i="2"/>
  <c r="N36" i="2"/>
  <c r="N4"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 i="2"/>
  <c r="H40" i="1"/>
  <c r="E23" i="1"/>
  <c r="E22" i="1"/>
  <c r="AZ10" i="1"/>
  <c r="B21" i="1"/>
  <c r="G21" i="1"/>
  <c r="G22" i="1"/>
  <c r="G23" i="1"/>
  <c r="F21" i="1"/>
  <c r="F22" i="1"/>
  <c r="F23" i="1"/>
  <c r="F18" i="1"/>
  <c r="E21" i="1"/>
  <c r="E13" i="1"/>
  <c r="B23" i="1"/>
  <c r="B22" i="1"/>
  <c r="B10" i="1"/>
  <c r="AV3" i="1"/>
  <c r="AZ3" i="1"/>
  <c r="AV4" i="1"/>
  <c r="AZ4" i="1"/>
  <c r="AV10" i="1"/>
  <c r="AV11" i="1"/>
  <c r="AZ11" i="1"/>
  <c r="AV12" i="1"/>
  <c r="AZ12" i="1"/>
  <c r="AV2" i="1"/>
  <c r="AZ2" i="1"/>
  <c r="AO13" i="1"/>
  <c r="AP13" i="1"/>
  <c r="AQ13" i="1"/>
  <c r="AN13" i="1"/>
  <c r="F30" i="1"/>
  <c r="G30" i="1"/>
  <c r="F31" i="1"/>
  <c r="G31" i="1"/>
  <c r="G33" i="1"/>
  <c r="G34" i="1"/>
  <c r="F15" i="1"/>
  <c r="F3" i="1"/>
  <c r="F4" i="1"/>
  <c r="F5" i="1"/>
  <c r="F6" i="1"/>
  <c r="F7" i="1"/>
  <c r="F8" i="1"/>
  <c r="F9" i="1"/>
  <c r="F10" i="1"/>
  <c r="F11" i="1"/>
  <c r="F12" i="1"/>
  <c r="F13" i="1"/>
  <c r="F14" i="1"/>
  <c r="F16" i="1"/>
  <c r="F17" i="1"/>
  <c r="G3" i="1"/>
  <c r="G4" i="1"/>
  <c r="E18" i="1"/>
  <c r="G18" i="1"/>
  <c r="H41" i="1"/>
  <c r="H42" i="1"/>
  <c r="D43" i="1"/>
  <c r="H43" i="1"/>
  <c r="D44" i="1"/>
  <c r="H44" i="1"/>
  <c r="D45" i="1"/>
  <c r="H45" i="1"/>
  <c r="D46" i="1"/>
  <c r="H46" i="1"/>
  <c r="D47" i="1"/>
  <c r="H47" i="1"/>
  <c r="D48" i="1"/>
  <c r="H48" i="1"/>
  <c r="D49" i="1"/>
  <c r="H49" i="1"/>
  <c r="D50" i="1"/>
  <c r="H50" i="1"/>
  <c r="D51" i="1"/>
  <c r="H51" i="1"/>
  <c r="D52" i="1"/>
  <c r="H52" i="1"/>
  <c r="D53" i="1"/>
  <c r="H53" i="1"/>
  <c r="D54" i="1"/>
  <c r="H54" i="1"/>
  <c r="D55" i="1"/>
  <c r="H55" i="1"/>
  <c r="D56" i="1"/>
  <c r="H56" i="1"/>
  <c r="D57" i="1"/>
  <c r="H57" i="1"/>
  <c r="D58" i="1"/>
  <c r="H58" i="1"/>
  <c r="D59" i="1"/>
  <c r="H59" i="1"/>
  <c r="D60" i="1"/>
  <c r="H60" i="1"/>
  <c r="D61" i="1"/>
  <c r="H61" i="1"/>
  <c r="D62" i="1"/>
  <c r="H62" i="1"/>
  <c r="D63" i="1"/>
  <c r="H63" i="1"/>
  <c r="D64" i="1"/>
  <c r="H64" i="1"/>
  <c r="D65" i="1"/>
  <c r="H65" i="1"/>
  <c r="D66" i="1"/>
  <c r="H66" i="1"/>
  <c r="D67" i="1"/>
  <c r="H67" i="1"/>
  <c r="D68" i="1"/>
  <c r="H68" i="1"/>
  <c r="D69" i="1"/>
  <c r="H69" i="1"/>
  <c r="D70" i="1"/>
  <c r="H70" i="1"/>
  <c r="D71" i="1"/>
  <c r="H71" i="1"/>
  <c r="D72" i="1"/>
  <c r="H72" i="1"/>
  <c r="D73" i="1"/>
  <c r="H73" i="1"/>
  <c r="D74" i="1"/>
  <c r="H74" i="1"/>
  <c r="D75" i="1"/>
  <c r="H75" i="1"/>
  <c r="D76" i="1"/>
  <c r="H76" i="1"/>
  <c r="D77" i="1"/>
  <c r="H77" i="1"/>
  <c r="D78" i="1"/>
  <c r="H78" i="1"/>
  <c r="D79" i="1"/>
  <c r="H79" i="1"/>
  <c r="D80" i="1"/>
  <c r="H80" i="1"/>
  <c r="D81" i="1"/>
  <c r="H81" i="1"/>
  <c r="D82" i="1"/>
  <c r="H82" i="1"/>
  <c r="D83" i="1"/>
  <c r="H83" i="1"/>
  <c r="D84" i="1"/>
  <c r="H84" i="1"/>
  <c r="D85" i="1"/>
  <c r="H85" i="1"/>
  <c r="D86" i="1"/>
  <c r="H86" i="1"/>
  <c r="D87" i="1"/>
  <c r="H87" i="1"/>
  <c r="D88" i="1"/>
  <c r="H88" i="1"/>
  <c r="D89" i="1"/>
  <c r="H89" i="1"/>
  <c r="D90" i="1"/>
  <c r="H90" i="1"/>
  <c r="D91" i="1"/>
  <c r="H91" i="1"/>
  <c r="D92" i="1"/>
  <c r="H92"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40"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30" i="2"/>
  <c r="AF11" i="1"/>
  <c r="AG11" i="1"/>
  <c r="AF2" i="1"/>
  <c r="AG2" i="1"/>
  <c r="AF3" i="1"/>
  <c r="AG3" i="1"/>
  <c r="AF4" i="1"/>
  <c r="AG4" i="1"/>
  <c r="E17" i="1"/>
  <c r="E14" i="1"/>
  <c r="E15" i="1"/>
  <c r="E16" i="1"/>
  <c r="E8" i="1"/>
  <c r="E9" i="1"/>
  <c r="E10" i="1"/>
  <c r="B9" i="1"/>
  <c r="B8" i="1"/>
  <c r="AO5" i="1"/>
  <c r="AP5" i="1"/>
  <c r="AN5" i="1"/>
  <c r="G10" i="1"/>
  <c r="G7" i="1"/>
  <c r="G8" i="1"/>
  <c r="G9" i="1"/>
  <c r="AF10" i="1"/>
  <c r="AG10" i="1"/>
  <c r="AF9" i="1"/>
  <c r="AG9" i="1"/>
  <c r="G5" i="1"/>
  <c r="G6" i="1"/>
  <c r="AF7" i="1"/>
  <c r="AG7" i="1"/>
  <c r="AF8" i="1"/>
  <c r="AG8" i="1"/>
  <c r="AF5" i="1"/>
  <c r="AG5" i="1"/>
  <c r="AF6" i="1"/>
  <c r="AG6" i="1"/>
  <c r="G14" i="1"/>
  <c r="G15" i="1"/>
  <c r="G16" i="1"/>
  <c r="G17" i="1"/>
  <c r="G13" i="1"/>
</calcChain>
</file>

<file path=xl/sharedStrings.xml><?xml version="1.0" encoding="utf-8"?>
<sst xmlns="http://schemas.openxmlformats.org/spreadsheetml/2006/main" count="423" uniqueCount="137">
  <si>
    <t>optic</t>
  </si>
  <si>
    <t>ITMY</t>
  </si>
  <si>
    <t>distance</t>
  </si>
  <si>
    <t>ITMX</t>
  </si>
  <si>
    <t>ETMX</t>
  </si>
  <si>
    <t>(m)distance to optical lever</t>
  </si>
  <si>
    <t>ETMY</t>
  </si>
  <si>
    <t>PR3</t>
  </si>
  <si>
    <t>BS</t>
  </si>
  <si>
    <t>(Rad) theta</t>
  </si>
  <si>
    <t>(W) total power on optic</t>
  </si>
  <si>
    <t>BRDF</t>
  </si>
  <si>
    <t>offset from center line</t>
  </si>
  <si>
    <t>viewport</t>
  </si>
  <si>
    <t>radius to port</t>
  </si>
  <si>
    <t>law of cosines c2 = a2 + b2 -2ab cos C</t>
  </si>
  <si>
    <t>angle to test mass</t>
  </si>
  <si>
    <t>degrees angle to port</t>
  </si>
  <si>
    <t>LLO ITMX</t>
  </si>
  <si>
    <t>LLO PR3</t>
  </si>
  <si>
    <t>GPS</t>
  </si>
  <si>
    <t>OpLev</t>
  </si>
  <si>
    <t>Volts (40V = 65536)</t>
  </si>
  <si>
    <t>transimpedance</t>
  </si>
  <si>
    <t>Whitening gain</t>
  </si>
  <si>
    <t>Responsivity</t>
  </si>
  <si>
    <t>Power step on diode</t>
  </si>
  <si>
    <t>Counts step on diode</t>
  </si>
  <si>
    <t>(W) difference in optical level signal locked/unlocked from: LHO https://dcc.ligo.org/DocDB/0125/T1600085/001/Diode_PDF.pdf, LLO: anamaria's log https://alog.ligo-la.caltech.edu/aLOG/index.php?callRep=28668, and my recent checks in Feb 2018, see calculations on right side of this page</t>
  </si>
  <si>
    <t>Roberts supplement see far right</t>
  </si>
  <si>
    <t>AVE</t>
  </si>
  <si>
    <t xml:space="preserve">BRDF Model </t>
  </si>
  <si>
    <t>reduction flange showing at ITM op levs</t>
  </si>
  <si>
    <t>Port at 3:00 from ITM</t>
  </si>
  <si>
    <t>Port at 5:30 from ITM</t>
  </si>
  <si>
    <t>Port at 2:00 from ITM</t>
  </si>
  <si>
    <t>Port at 11 from ITM</t>
  </si>
  <si>
    <t>Port at 9:00 from ITM</t>
  </si>
  <si>
    <t>Port at 6:30 from ITM</t>
  </si>
  <si>
    <t>optical lever port from ETM?</t>
  </si>
  <si>
    <t>P-cal periscope glint at edge of ring</t>
  </si>
  <si>
    <t>PRM</t>
  </si>
  <si>
    <t>PR2</t>
  </si>
  <si>
    <t>CPX</t>
  </si>
  <si>
    <t>CPY</t>
  </si>
  <si>
    <t>BS - PR3</t>
  </si>
  <si>
    <t>BS - ITM</t>
  </si>
  <si>
    <t>BS - SR3</t>
  </si>
  <si>
    <t>8e-7/theta^1.8</t>
  </si>
  <si>
    <t>BS-PR3</t>
  </si>
  <si>
    <t>BS-ITMX</t>
  </si>
  <si>
    <t>BS-ITMY</t>
  </si>
  <si>
    <t>BS--XY wall</t>
  </si>
  <si>
    <t>CPX-BS</t>
  </si>
  <si>
    <t>ITMX-ETMX</t>
  </si>
  <si>
    <t>ETMX-ITMX</t>
  </si>
  <si>
    <t>CPY-BS</t>
  </si>
  <si>
    <t>ETMY-ITMY</t>
  </si>
  <si>
    <t>SR2-SRM</t>
  </si>
  <si>
    <t>SRM-BS</t>
  </si>
  <si>
    <t>SR3</t>
  </si>
  <si>
    <t>SR2</t>
  </si>
  <si>
    <t>SRM</t>
  </si>
  <si>
    <t>BRDF weighting</t>
  </si>
  <si>
    <t>pixels in glint</t>
  </si>
  <si>
    <t>glint steradians</t>
  </si>
  <si>
    <t>BSC3-7-Flange</t>
  </si>
  <si>
    <t>wall with op lev</t>
  </si>
  <si>
    <t>TCS mirror</t>
  </si>
  <si>
    <t>reducing flange by op lev</t>
  </si>
  <si>
    <t>valve seat</t>
  </si>
  <si>
    <t>bellows</t>
  </si>
  <si>
    <t>ACB line reflection far corner</t>
  </si>
  <si>
    <t>ACB line reflection near corner</t>
  </si>
  <si>
    <t>ACB line reflections in near corner of ACB</t>
  </si>
  <si>
    <t>ITM elliptical baffle top</t>
  </si>
  <si>
    <t>TCS mirror holder</t>
  </si>
  <si>
    <t>P-Cal periscope glint</t>
  </si>
  <si>
    <t>BSC1-8 flange</t>
  </si>
  <si>
    <t>baffle reflection</t>
  </si>
  <si>
    <t>port blank-off</t>
  </si>
  <si>
    <t>Flange BSC3-7</t>
  </si>
  <si>
    <t>Port blank-off</t>
  </si>
  <si>
    <t>baffle corner</t>
  </si>
  <si>
    <t>septum</t>
  </si>
  <si>
    <t>chamber wall</t>
  </si>
  <si>
    <t>Flange BSC1-8</t>
  </si>
  <si>
    <t>cage around test mass</t>
  </si>
  <si>
    <t>elliptical baffle top</t>
  </si>
  <si>
    <t>Weighting normalized roughly to P-cal</t>
  </si>
  <si>
    <t>normalization</t>
  </si>
  <si>
    <t>front side of HAM4, lower part visible under elliptical baffle</t>
  </si>
  <si>
    <t>HAM4 table edge visible through elliptical baffle</t>
  </si>
  <si>
    <t>BS-SR3</t>
  </si>
  <si>
    <t xml:space="preserve">HAM4 table edge </t>
  </si>
  <si>
    <t>power ratio relative to arm from 37 recycling gain and 250 cavity and, for SRC, from ratio of H1:ASC-AS_C_NSUM_OUT_DQ, divided by 0.35 for SRM transmission and divided by 0.85 for OFI transmission,  to (H1:IMC-PWR_IN_OUT_DQ times 37), wich gives ratio to power in PRC, so multiply by 4e-3 to get ratio to arm cavity</t>
  </si>
  <si>
    <t>steradians per pixel getting the total number of pixels in a circle with the radius from the beam angle to the point of interest from pi*R^2, where R is the number of pixels in a line, and the number of steradians for a cone that subtends 2*theta, I think this assumes no distortion in the photo and so will be worse at higher angles. Tested by calculating for angle of 2pi, also, note the difference for the steradians per pixel at different angles in a single picture to get a feel for the uncertainty in pixels per steradian.</t>
  </si>
  <si>
    <t>.</t>
  </si>
  <si>
    <t>Weighting, BRDF^2 x transfer x power x glint steradians</t>
  </si>
  <si>
    <t>transfer function at 100 Hz, ratio, relative to injection in arm from Models sheet</t>
  </si>
  <si>
    <t>5e-6/theta^1.1</t>
  </si>
  <si>
    <t>Seismic isolation where 1 is none and 0 is perfect</t>
  </si>
  <si>
    <t>HAM table about 0.01 at 100 Hz at least for peaks, see plot below</t>
  </si>
  <si>
    <t>0.003 see plot below</t>
  </si>
  <si>
    <t>0.1 see plot below</t>
  </si>
  <si>
    <t>HWFS equipment</t>
  </si>
  <si>
    <t>LLO BS UPPER LIMIT</t>
  </si>
  <si>
    <t>IFO inputPower</t>
  </si>
  <si>
    <t>LHO ITMX</t>
  </si>
  <si>
    <t>LHO PR3</t>
  </si>
  <si>
    <t>LHO BS UPPER LIMIT</t>
  </si>
  <si>
    <t>2017-08-13 12:58:45</t>
  </si>
  <si>
    <t>2017-08-15 15:08:00</t>
  </si>
  <si>
    <t>watts per steradian</t>
  </si>
  <si>
    <t>calculations from surf student using camera, https://dcc.ligo.org/DocDB/0143/G1701180/001/FINALREPORT.pdf</t>
  </si>
  <si>
    <t>2017-08-18 3:51:43</t>
  </si>
  <si>
    <t>Robrts supplement see far right</t>
  </si>
  <si>
    <r>
      <t xml:space="preserve">LHO </t>
    </r>
    <r>
      <rPr>
        <sz val="12"/>
        <color theme="1"/>
        <rFont val="Calibri"/>
        <family val="2"/>
        <scheme val="minor"/>
      </rPr>
      <t>from https://dcc.ligo.org/DocDB/0125/T1600085/001/Diode_PDF.pd</t>
    </r>
    <r>
      <rPr>
        <b/>
        <sz val="12"/>
        <color theme="1"/>
        <rFont val="Calibri"/>
        <family val="2"/>
        <scheme val="minor"/>
      </rPr>
      <t>f</t>
    </r>
  </si>
  <si>
    <r>
      <t xml:space="preserve">LLO from </t>
    </r>
    <r>
      <rPr>
        <sz val="12"/>
        <color theme="1"/>
        <rFont val="Calibri"/>
        <family val="2"/>
        <scheme val="minor"/>
      </rPr>
      <t>https://alog.ligo-la.caltech.edu/aLOG/index.php?callRep=28668</t>
    </r>
  </si>
  <si>
    <t xml:space="preserve">(STRD) diode = diode area/ distance squared (4pi steradians in a shell </t>
  </si>
  <si>
    <t>3e-6/theta^1.3</t>
  </si>
  <si>
    <t>optic from which beam is scattered and recombined, dash gives the direction of the beam being scattered if there are multiple possibilities</t>
  </si>
  <si>
    <t>retro-reflecting site</t>
  </si>
  <si>
    <t>radians to glint center</t>
  </si>
  <si>
    <t xml:space="preserve">pixels in a line from beam projection to the location where the angle was calculated. </t>
  </si>
  <si>
    <t xml:space="preserve">Notes: I am assuming that the visible part of the septum cant be seen from the CP, which would make the coupling much higher </t>
  </si>
  <si>
    <t>weighting</t>
  </si>
  <si>
    <t>CP - PR3</t>
  </si>
  <si>
    <t>swiss cheese</t>
  </si>
  <si>
    <t>Rough seismic isolation at 100 Hz</t>
  </si>
  <si>
    <t>Distance to retro-reflecting site</t>
  </si>
  <si>
    <t>weighting x seismic isolation</t>
  </si>
  <si>
    <t xml:space="preserve">BRDF model: 3e-6/theta^1.3 with distance^2 and isolation weighting </t>
  </si>
  <si>
    <t>Transfer function to DARM as a function of beam spot location</t>
  </si>
  <si>
    <t>SORTED RESULTS</t>
  </si>
  <si>
    <t>No BRDF, for beamed light</t>
  </si>
  <si>
    <t>Weighting normalized  to P-cal glint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</si>
</sst>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E+00"/>
  </numFmts>
  <fonts count="7" x14ac:knownFonts="1">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12"/>
      <color rgb="FF000000"/>
      <name val="Calibri"/>
      <family val="2"/>
      <scheme val="minor"/>
    </font>
    <font>
      <sz val="8"/>
      <name val="Calibri"/>
      <family val="2"/>
      <scheme val="minor"/>
    </font>
  </fonts>
  <fills count="2">
    <fill>
      <patternFill patternType="none"/>
    </fill>
    <fill>
      <patternFill patternType="gray125"/>
    </fill>
  </fills>
  <borders count="1">
    <border>
      <left/>
      <right/>
      <top/>
      <bottom/>
      <diagonal/>
    </border>
  </borders>
  <cellStyleXfs count="17">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cellStyleXfs>
  <cellXfs count="12">
    <xf numFmtId="0" fontId="0" fillId="0" borderId="0" xfId="0"/>
    <xf numFmtId="11" fontId="0" fillId="0" borderId="0" xfId="0" applyNumberFormat="1"/>
    <xf numFmtId="3" fontId="0" fillId="0" borderId="0" xfId="0" applyNumberFormat="1"/>
    <xf numFmtId="0" fontId="2" fillId="0" borderId="0" xfId="0" applyFont="1"/>
    <xf numFmtId="164" fontId="0" fillId="0" borderId="0" xfId="0" applyNumberFormat="1"/>
    <xf numFmtId="164" fontId="0" fillId="0" borderId="0" xfId="0" applyNumberFormat="1" applyFont="1"/>
    <xf numFmtId="0" fontId="0" fillId="0" borderId="0" xfId="0" applyAlignment="1">
      <alignment vertical="top" wrapText="1"/>
    </xf>
    <xf numFmtId="49" fontId="0" fillId="0" borderId="0" xfId="0" applyNumberFormat="1"/>
    <xf numFmtId="0" fontId="5" fillId="0" borderId="0" xfId="0" applyFont="1"/>
    <xf numFmtId="11" fontId="5" fillId="0" borderId="0" xfId="0" applyNumberFormat="1" applyFont="1"/>
    <xf numFmtId="11" fontId="0" fillId="0" borderId="0" xfId="0" applyNumberFormat="1" applyAlignment="1">
      <alignment vertical="top" wrapText="1"/>
    </xf>
    <xf numFmtId="0" fontId="2" fillId="0" borderId="0" xfId="0" applyFont="1" applyAlignment="1">
      <alignment vertical="top" wrapText="1"/>
    </xf>
  </cellXfs>
  <cellStyles count="17">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Normal" xfId="0" builtinId="0"/>
  </cellStyles>
  <dxfs count="0"/>
  <tableStyles count="0" defaultTableStyle="TableStyleMedium9" defaultPivotStyle="PivotStyleMedium7"/>
  <colors>
    <mruColors>
      <color rgb="FF001F60"/>
      <color rgb="FFFFC001"/>
      <color rgb="FF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aredStrings" Target="sharedStrings.xml"/><Relationship Id="rId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charts/_rels/chart1.xml.rels><?xml version="1.0" encoding="UTF-8" standalone="yes"?>
<Relationships xmlns="http://schemas.openxmlformats.org/package/2006/relationships"><Relationship Id="rId1" Type="http://schemas.microsoft.com/office/2011/relationships/chartStyle" Target="style1.xml"/><Relationship Id="rId2" Type="http://schemas.microsoft.com/office/2011/relationships/chartColorStyle" Target="colors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n-US" sz="2500" b="1" i="0" baseline="0"/>
              <a:t>BRDFs of some LHO &amp; LLO optics from optical lever signal steps at lock loss</a:t>
            </a:r>
          </a:p>
        </c:rich>
      </c:tx>
      <c:layout>
        <c:manualLayout>
          <c:xMode val="edge"/>
          <c:yMode val="edge"/>
          <c:x val="0.196676358025007"/>
          <c:y val="0.00164299186219813"/>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83846158389991"/>
          <c:y val="0.0989309104048418"/>
          <c:w val="0.790565003455588"/>
          <c:h val="0.736583158940696"/>
        </c:manualLayout>
      </c:layout>
      <c:scatterChart>
        <c:scatterStyle val="lineMarker"/>
        <c:varyColors val="0"/>
        <c:ser>
          <c:idx val="0"/>
          <c:order val="0"/>
          <c:tx>
            <c:v>LHO ITMs, Feb. 2016</c:v>
          </c:tx>
          <c:spPr>
            <a:ln w="25400" cap="rnd">
              <a:noFill/>
              <a:round/>
            </a:ln>
            <a:effectLst/>
          </c:spPr>
          <c:marker>
            <c:symbol val="circle"/>
            <c:size val="10"/>
            <c:spPr>
              <a:solidFill>
                <a:srgbClr val="00B0F0"/>
              </a:solidFill>
              <a:ln w="9525">
                <a:solidFill>
                  <a:schemeClr val="tx1"/>
                </a:solidFill>
              </a:ln>
              <a:effectLst/>
            </c:spPr>
          </c:marker>
          <c:xVal>
            <c:numRef>
              <c:f>Models!$D$13:$D$14</c:f>
              <c:numCache>
                <c:formatCode>General</c:formatCode>
                <c:ptCount val="2"/>
                <c:pt idx="0">
                  <c:v>0.019</c:v>
                </c:pt>
                <c:pt idx="1">
                  <c:v>0.019</c:v>
                </c:pt>
              </c:numCache>
            </c:numRef>
          </c:xVal>
          <c:yVal>
            <c:numRef>
              <c:f>Models!$G$13:$G$14</c:f>
              <c:numCache>
                <c:formatCode>General</c:formatCode>
                <c:ptCount val="2"/>
                <c:pt idx="0">
                  <c:v>0.000241375937062937</c:v>
                </c:pt>
                <c:pt idx="1">
                  <c:v>0.000393670712055944</c:v>
                </c:pt>
              </c:numCache>
            </c:numRef>
          </c:yVal>
          <c:smooth val="0"/>
        </c:ser>
        <c:ser>
          <c:idx val="1"/>
          <c:order val="1"/>
          <c:tx>
            <c:v>LHO ETMs, Feb. 2016</c:v>
          </c:tx>
          <c:spPr>
            <a:ln w="25400" cap="rnd">
              <a:noFill/>
              <a:round/>
            </a:ln>
            <a:effectLst/>
          </c:spPr>
          <c:marker>
            <c:symbol val="circle"/>
            <c:size val="13"/>
            <c:spPr>
              <a:solidFill>
                <a:srgbClr val="FF0000"/>
              </a:solidFill>
              <a:ln w="9525">
                <a:solidFill>
                  <a:schemeClr val="tx1"/>
                </a:solidFill>
              </a:ln>
              <a:effectLst/>
            </c:spPr>
          </c:marker>
          <c:xVal>
            <c:numRef>
              <c:f>(Models!$D$15,Models!$D$16)</c:f>
              <c:numCache>
                <c:formatCode>General</c:formatCode>
                <c:ptCount val="2"/>
                <c:pt idx="0">
                  <c:v>0.112</c:v>
                </c:pt>
                <c:pt idx="1">
                  <c:v>0.163</c:v>
                </c:pt>
              </c:numCache>
            </c:numRef>
          </c:xVal>
          <c:yVal>
            <c:numRef>
              <c:f>(Models!$G$15,Models!$G$16)</c:f>
              <c:numCache>
                <c:formatCode>General</c:formatCode>
                <c:ptCount val="2"/>
                <c:pt idx="0">
                  <c:v>3.43589085314685E-5</c:v>
                </c:pt>
                <c:pt idx="1">
                  <c:v>2.57684556083916E-5</c:v>
                </c:pt>
              </c:numCache>
            </c:numRef>
          </c:yVal>
          <c:smooth val="0"/>
        </c:ser>
        <c:ser>
          <c:idx val="2"/>
          <c:order val="2"/>
          <c:tx>
            <c:v>LHO PR3, Feb 2016</c:v>
          </c:tx>
          <c:spPr>
            <a:ln w="25400" cap="rnd">
              <a:noFill/>
              <a:round/>
            </a:ln>
            <a:effectLst/>
          </c:spPr>
          <c:marker>
            <c:symbol val="circle"/>
            <c:size val="10"/>
            <c:spPr>
              <a:solidFill>
                <a:srgbClr val="002060"/>
              </a:solidFill>
              <a:ln w="9525">
                <a:solidFill>
                  <a:schemeClr val="tx1"/>
                </a:solidFill>
              </a:ln>
              <a:effectLst/>
            </c:spPr>
          </c:marker>
          <c:xVal>
            <c:numRef>
              <c:f>Models!$D$17</c:f>
              <c:numCache>
                <c:formatCode>General</c:formatCode>
                <c:ptCount val="1"/>
                <c:pt idx="0">
                  <c:v>0.08</c:v>
                </c:pt>
              </c:numCache>
            </c:numRef>
          </c:xVal>
          <c:yVal>
            <c:numRef>
              <c:f>Models!$G$17</c:f>
              <c:numCache>
                <c:formatCode>General</c:formatCode>
                <c:ptCount val="1"/>
                <c:pt idx="0">
                  <c:v>0.00217175538461538</c:v>
                </c:pt>
              </c:numCache>
            </c:numRef>
          </c:yVal>
          <c:smooth val="0"/>
        </c:ser>
        <c:ser>
          <c:idx val="3"/>
          <c:order val="3"/>
          <c:tx>
            <c:v>LHO BS, Feb. 2016, upper limit</c:v>
          </c:tx>
          <c:spPr>
            <a:ln w="25400" cap="rnd">
              <a:noFill/>
              <a:round/>
            </a:ln>
            <a:effectLst/>
          </c:spPr>
          <c:marker>
            <c:symbol val="circle"/>
            <c:size val="10"/>
            <c:spPr>
              <a:solidFill>
                <a:srgbClr val="FFC000"/>
              </a:solidFill>
              <a:ln w="9525">
                <a:solidFill>
                  <a:schemeClr val="tx1"/>
                </a:solidFill>
              </a:ln>
              <a:effectLst/>
            </c:spPr>
          </c:marker>
          <c:xVal>
            <c:numRef>
              <c:f>Models!$D$18</c:f>
              <c:numCache>
                <c:formatCode>General</c:formatCode>
                <c:ptCount val="1"/>
                <c:pt idx="0">
                  <c:v>0.785</c:v>
                </c:pt>
              </c:numCache>
            </c:numRef>
          </c:xVal>
          <c:yVal>
            <c:numRef>
              <c:f>Models!$G$18</c:f>
              <c:numCache>
                <c:formatCode>General</c:formatCode>
                <c:ptCount val="1"/>
                <c:pt idx="0">
                  <c:v>1.28077762237762E-5</c:v>
                </c:pt>
              </c:numCache>
            </c:numRef>
          </c:yVal>
          <c:smooth val="0"/>
        </c:ser>
        <c:ser>
          <c:idx val="4"/>
          <c:order val="4"/>
          <c:tx>
            <c:v>Model, 0.01&lt;theta&lt;0.8, 3e-6/theta^1.3</c:v>
          </c:tx>
          <c:spPr>
            <a:ln w="25400" cap="rnd">
              <a:solidFill>
                <a:schemeClr val="tx1"/>
              </a:solidFill>
              <a:round/>
            </a:ln>
            <a:effectLst/>
          </c:spPr>
          <c:marker>
            <c:symbol val="none"/>
          </c:marker>
          <c:xVal>
            <c:numRef>
              <c:f>Models!$D$40:$D$72</c:f>
              <c:numCache>
                <c:formatCode>General</c:formatCode>
                <c:ptCount val="33"/>
                <c:pt idx="0">
                  <c:v>0.01</c:v>
                </c:pt>
                <c:pt idx="1">
                  <c:v>0.015</c:v>
                </c:pt>
                <c:pt idx="2">
                  <c:v>0.02</c:v>
                </c:pt>
                <c:pt idx="3">
                  <c:v>0.025</c:v>
                </c:pt>
                <c:pt idx="4">
                  <c:v>0.03</c:v>
                </c:pt>
                <c:pt idx="5">
                  <c:v>0.035</c:v>
                </c:pt>
                <c:pt idx="6">
                  <c:v>0.04</c:v>
                </c:pt>
                <c:pt idx="7">
                  <c:v>0.045</c:v>
                </c:pt>
                <c:pt idx="8">
                  <c:v>0.05</c:v>
                </c:pt>
                <c:pt idx="9">
                  <c:v>0.055</c:v>
                </c:pt>
                <c:pt idx="10">
                  <c:v>0.06</c:v>
                </c:pt>
                <c:pt idx="11">
                  <c:v>0.065</c:v>
                </c:pt>
                <c:pt idx="12">
                  <c:v>0.07</c:v>
                </c:pt>
                <c:pt idx="13">
                  <c:v>0.075</c:v>
                </c:pt>
                <c:pt idx="14">
                  <c:v>0.08</c:v>
                </c:pt>
                <c:pt idx="15">
                  <c:v>0.085</c:v>
                </c:pt>
                <c:pt idx="16">
                  <c:v>0.09</c:v>
                </c:pt>
                <c:pt idx="17">
                  <c:v>0.095</c:v>
                </c:pt>
                <c:pt idx="18">
                  <c:v>0.1</c:v>
                </c:pt>
                <c:pt idx="19">
                  <c:v>0.15</c:v>
                </c:pt>
                <c:pt idx="20">
                  <c:v>0.2</c:v>
                </c:pt>
                <c:pt idx="21">
                  <c:v>0.25</c:v>
                </c:pt>
                <c:pt idx="22">
                  <c:v>0.3</c:v>
                </c:pt>
                <c:pt idx="23">
                  <c:v>0.35</c:v>
                </c:pt>
                <c:pt idx="24">
                  <c:v>0.4</c:v>
                </c:pt>
                <c:pt idx="25">
                  <c:v>0.45</c:v>
                </c:pt>
                <c:pt idx="26">
                  <c:v>0.5</c:v>
                </c:pt>
                <c:pt idx="27">
                  <c:v>0.55</c:v>
                </c:pt>
                <c:pt idx="28">
                  <c:v>0.6</c:v>
                </c:pt>
                <c:pt idx="29">
                  <c:v>0.65</c:v>
                </c:pt>
                <c:pt idx="30">
                  <c:v>0.7</c:v>
                </c:pt>
                <c:pt idx="31">
                  <c:v>0.75</c:v>
                </c:pt>
                <c:pt idx="32">
                  <c:v>0.8</c:v>
                </c:pt>
              </c:numCache>
            </c:numRef>
          </c:xVal>
          <c:yVal>
            <c:numRef>
              <c:f>Models!$H$40:$H$72</c:f>
              <c:numCache>
                <c:formatCode>General</c:formatCode>
                <c:ptCount val="33"/>
                <c:pt idx="0">
                  <c:v>0.00119432151166049</c:v>
                </c:pt>
                <c:pt idx="1">
                  <c:v>0.000705021916745984</c:v>
                </c:pt>
                <c:pt idx="2">
                  <c:v>0.000485045254933018</c:v>
                </c:pt>
                <c:pt idx="3">
                  <c:v>0.000362910257439866</c:v>
                </c:pt>
                <c:pt idx="4">
                  <c:v>0.000286327870680296</c:v>
                </c:pt>
                <c:pt idx="5">
                  <c:v>0.000234332646331362</c:v>
                </c:pt>
                <c:pt idx="6">
                  <c:v>0.000196989585330282</c:v>
                </c:pt>
                <c:pt idx="7">
                  <c:v>0.000169022681274624</c:v>
                </c:pt>
                <c:pt idx="8">
                  <c:v>0.000147387363133895</c:v>
                </c:pt>
                <c:pt idx="9">
                  <c:v>0.000130211624874952</c:v>
                </c:pt>
                <c:pt idx="10">
                  <c:v>0.000116285249551824</c:v>
                </c:pt>
                <c:pt idx="11">
                  <c:v>0.000104793390325054</c:v>
                </c:pt>
                <c:pt idx="12">
                  <c:v>9.51686267635735E-5</c:v>
                </c:pt>
                <c:pt idx="13">
                  <c:v>8.70044793184079E-5</c:v>
                </c:pt>
                <c:pt idx="14">
                  <c:v>8.00026313708716E-5</c:v>
                </c:pt>
                <c:pt idx="15">
                  <c:v>7.39395241531925E-5</c:v>
                </c:pt>
                <c:pt idx="16">
                  <c:v>6.86445389519346E-5</c:v>
                </c:pt>
                <c:pt idx="17">
                  <c:v>6.39853526462772E-5</c:v>
                </c:pt>
                <c:pt idx="18">
                  <c:v>5.98578694490664E-5</c:v>
                </c:pt>
                <c:pt idx="19">
                  <c:v>3.53347984100516E-5</c:v>
                </c:pt>
                <c:pt idx="20">
                  <c:v>2.43098489503914E-5</c:v>
                </c:pt>
                <c:pt idx="21">
                  <c:v>1.81885987981248E-5</c:v>
                </c:pt>
                <c:pt idx="22">
                  <c:v>1.43503873416645E-5</c:v>
                </c:pt>
                <c:pt idx="23">
                  <c:v>1.17444530763373E-5</c:v>
                </c:pt>
                <c:pt idx="24">
                  <c:v>9.87286653250678E-6</c:v>
                </c:pt>
                <c:pt idx="25">
                  <c:v>8.47120100482928E-6</c:v>
                </c:pt>
                <c:pt idx="26">
                  <c:v>7.3868664800695E-6</c:v>
                </c:pt>
                <c:pt idx="27">
                  <c:v>6.52604040571891E-6</c:v>
                </c:pt>
                <c:pt idx="28">
                  <c:v>5.82806825345358E-6</c:v>
                </c:pt>
                <c:pt idx="29">
                  <c:v>5.25211093994368E-6</c:v>
                </c:pt>
                <c:pt idx="30">
                  <c:v>4.76973007757418E-6</c:v>
                </c:pt>
                <c:pt idx="31">
                  <c:v>4.3605534302774E-6</c:v>
                </c:pt>
                <c:pt idx="32">
                  <c:v>4.00962974996695E-6</c:v>
                </c:pt>
              </c:numCache>
            </c:numRef>
          </c:yVal>
          <c:smooth val="0"/>
        </c:ser>
        <c:ser>
          <c:idx val="5"/>
          <c:order val="5"/>
          <c:tx>
            <c:v>LLO ITMs, Oct. 2016 </c:v>
          </c:tx>
          <c:spPr>
            <a:ln w="25400" cap="rnd">
              <a:noFill/>
              <a:round/>
            </a:ln>
            <a:effectLst/>
          </c:spPr>
          <c:marker>
            <c:symbol val="triangle"/>
            <c:size val="10"/>
            <c:spPr>
              <a:solidFill>
                <a:srgbClr val="00B0F0"/>
              </a:solidFill>
              <a:ln w="9525">
                <a:solidFill>
                  <a:schemeClr val="tx1"/>
                </a:solidFill>
              </a:ln>
              <a:effectLst/>
            </c:spPr>
          </c:marker>
          <c:xVal>
            <c:numRef>
              <c:f>(Models!$D$3,Models!$D$4)</c:f>
              <c:numCache>
                <c:formatCode>General</c:formatCode>
                <c:ptCount val="2"/>
                <c:pt idx="0">
                  <c:v>0.019</c:v>
                </c:pt>
                <c:pt idx="1">
                  <c:v>0.019</c:v>
                </c:pt>
              </c:numCache>
            </c:numRef>
          </c:xVal>
          <c:yVal>
            <c:numRef>
              <c:f>(Models!$G$3,Models!$G$4)</c:f>
              <c:numCache>
                <c:formatCode>General</c:formatCode>
                <c:ptCount val="2"/>
                <c:pt idx="0">
                  <c:v>0.000297900681818182</c:v>
                </c:pt>
                <c:pt idx="1">
                  <c:v>0.000596161963636363</c:v>
                </c:pt>
              </c:numCache>
            </c:numRef>
          </c:yVal>
          <c:smooth val="0"/>
        </c:ser>
        <c:ser>
          <c:idx val="7"/>
          <c:order val="6"/>
          <c:tx>
            <c:v>LLO ETMs, Oct. 2016</c:v>
          </c:tx>
          <c:spPr>
            <a:ln w="25400" cap="rnd">
              <a:noFill/>
              <a:round/>
            </a:ln>
            <a:effectLst/>
          </c:spPr>
          <c:marker>
            <c:symbol val="triangle"/>
            <c:size val="10"/>
            <c:spPr>
              <a:solidFill>
                <a:srgbClr val="FF0000"/>
              </a:solidFill>
              <a:ln w="9525">
                <a:solidFill>
                  <a:schemeClr val="accent2">
                    <a:lumMod val="60000"/>
                  </a:schemeClr>
                </a:solidFill>
              </a:ln>
              <a:effectLst/>
            </c:spPr>
          </c:marker>
          <c:xVal>
            <c:numRef>
              <c:f>(Models!$D$5,Models!$D$6)</c:f>
              <c:numCache>
                <c:formatCode>General</c:formatCode>
                <c:ptCount val="2"/>
                <c:pt idx="0">
                  <c:v>0.112</c:v>
                </c:pt>
                <c:pt idx="1">
                  <c:v>0.163</c:v>
                </c:pt>
              </c:numCache>
            </c:numRef>
          </c:xVal>
          <c:yVal>
            <c:numRef>
              <c:f>(Models!$G$5,Models!$G$6)</c:f>
              <c:numCache>
                <c:formatCode>General</c:formatCode>
                <c:ptCount val="2"/>
                <c:pt idx="0">
                  <c:v>8.49174545454546E-5</c:v>
                </c:pt>
                <c:pt idx="1">
                  <c:v>5.09504727272727E-5</c:v>
                </c:pt>
              </c:numCache>
            </c:numRef>
          </c:yVal>
          <c:smooth val="0"/>
        </c:ser>
        <c:ser>
          <c:idx val="6"/>
          <c:order val="7"/>
          <c:tx>
            <c:v> LLO ITMX, Feb. 2018</c:v>
          </c:tx>
          <c:spPr>
            <a:ln w="25400" cap="rnd">
              <a:noFill/>
              <a:round/>
            </a:ln>
            <a:effectLst/>
          </c:spPr>
          <c:marker>
            <c:symbol val="triangle"/>
            <c:size val="6"/>
            <c:spPr>
              <a:solidFill>
                <a:srgbClr val="00B0F0"/>
              </a:solidFill>
              <a:ln w="9525">
                <a:solidFill>
                  <a:schemeClr val="tx1"/>
                </a:solidFill>
              </a:ln>
              <a:effectLst/>
            </c:spPr>
          </c:marker>
          <c:xVal>
            <c:numRef>
              <c:f>Models!$D$8</c:f>
              <c:numCache>
                <c:formatCode>General</c:formatCode>
                <c:ptCount val="1"/>
                <c:pt idx="0">
                  <c:v>0.019</c:v>
                </c:pt>
              </c:numCache>
            </c:numRef>
          </c:xVal>
          <c:yVal>
            <c:numRef>
              <c:f>Models!$G$8</c:f>
              <c:numCache>
                <c:formatCode>General</c:formatCode>
                <c:ptCount val="1"/>
                <c:pt idx="0">
                  <c:v>0.000332957109369329</c:v>
                </c:pt>
              </c:numCache>
            </c:numRef>
          </c:yVal>
          <c:smooth val="0"/>
        </c:ser>
        <c:ser>
          <c:idx val="8"/>
          <c:order val="8"/>
          <c:tx>
            <c:v>LLO PR3, Feb. 2018 </c:v>
          </c:tx>
          <c:spPr>
            <a:ln w="25400" cap="rnd">
              <a:noFill/>
              <a:round/>
            </a:ln>
            <a:effectLst/>
          </c:spPr>
          <c:marker>
            <c:symbol val="triangle"/>
            <c:size val="6"/>
            <c:spPr>
              <a:solidFill>
                <a:srgbClr val="002060"/>
              </a:solidFill>
              <a:ln w="19050">
                <a:solidFill>
                  <a:schemeClr val="tx1"/>
                </a:solidFill>
              </a:ln>
              <a:effectLst/>
            </c:spPr>
          </c:marker>
          <c:xVal>
            <c:numRef>
              <c:f>Models!$D$9</c:f>
              <c:numCache>
                <c:formatCode>General</c:formatCode>
                <c:ptCount val="1"/>
                <c:pt idx="0">
                  <c:v>0.08</c:v>
                </c:pt>
              </c:numCache>
            </c:numRef>
          </c:xVal>
          <c:yVal>
            <c:numRef>
              <c:f>Models!$G$9</c:f>
              <c:numCache>
                <c:formatCode>General</c:formatCode>
                <c:ptCount val="1"/>
                <c:pt idx="0">
                  <c:v>0.000565134039157774</c:v>
                </c:pt>
              </c:numCache>
            </c:numRef>
          </c:yVal>
          <c:smooth val="0"/>
        </c:ser>
        <c:ser>
          <c:idx val="9"/>
          <c:order val="9"/>
          <c:tx>
            <c:v>LLO BS, Feb. 2018, upper limit</c:v>
          </c:tx>
          <c:spPr>
            <a:ln w="25400" cap="rnd">
              <a:noFill/>
              <a:round/>
            </a:ln>
            <a:effectLst/>
          </c:spPr>
          <c:marker>
            <c:symbol val="triangle"/>
            <c:size val="6"/>
            <c:spPr>
              <a:solidFill>
                <a:srgbClr val="FFC000"/>
              </a:solidFill>
              <a:ln w="19050">
                <a:solidFill>
                  <a:schemeClr val="tx1"/>
                </a:solidFill>
              </a:ln>
              <a:effectLst/>
            </c:spPr>
          </c:marker>
          <c:xVal>
            <c:numRef>
              <c:f>Models!$D$10</c:f>
              <c:numCache>
                <c:formatCode>General</c:formatCode>
                <c:ptCount val="1"/>
                <c:pt idx="0">
                  <c:v>0.785</c:v>
                </c:pt>
              </c:numCache>
            </c:numRef>
          </c:xVal>
          <c:yVal>
            <c:numRef>
              <c:f>Models!$G$10</c:f>
              <c:numCache>
                <c:formatCode>General</c:formatCode>
                <c:ptCount val="1"/>
                <c:pt idx="0">
                  <c:v>1.57518552986172E-6</c:v>
                </c:pt>
              </c:numCache>
            </c:numRef>
          </c:yVal>
          <c:smooth val="0"/>
        </c:ser>
        <c:ser>
          <c:idx val="10"/>
          <c:order val="10"/>
          <c:tx>
            <c:v>LHO ETMX, Aug 2017</c:v>
          </c:tx>
          <c:spPr>
            <a:ln w="25400" cap="rnd">
              <a:noFill/>
              <a:round/>
            </a:ln>
            <a:effectLst/>
          </c:spPr>
          <c:marker>
            <c:symbol val="circle"/>
            <c:size val="5"/>
            <c:spPr>
              <a:solidFill>
                <a:srgbClr val="FF0000"/>
              </a:solidFill>
              <a:ln w="25400">
                <a:solidFill>
                  <a:schemeClr val="tx1"/>
                </a:solidFill>
              </a:ln>
              <a:effectLst/>
            </c:spPr>
          </c:marker>
          <c:xVal>
            <c:numRef>
              <c:f>Models!$D$21</c:f>
              <c:numCache>
                <c:formatCode>General</c:formatCode>
                <c:ptCount val="1"/>
                <c:pt idx="0">
                  <c:v>0.112</c:v>
                </c:pt>
              </c:numCache>
            </c:numRef>
          </c:xVal>
          <c:yVal>
            <c:numRef>
              <c:f>Models!$G$21</c:f>
              <c:numCache>
                <c:formatCode>General</c:formatCode>
                <c:ptCount val="1"/>
                <c:pt idx="0">
                  <c:v>3.40671790538537E-5</c:v>
                </c:pt>
              </c:numCache>
            </c:numRef>
          </c:yVal>
          <c:smooth val="0"/>
        </c:ser>
        <c:ser>
          <c:idx val="11"/>
          <c:order val="11"/>
          <c:tx>
            <c:v>LHO PR3, Aug 2017</c:v>
          </c:tx>
          <c:spPr>
            <a:ln w="25400" cap="rnd">
              <a:noFill/>
              <a:round/>
            </a:ln>
            <a:effectLst/>
          </c:spPr>
          <c:marker>
            <c:symbol val="circle"/>
            <c:size val="6"/>
            <c:spPr>
              <a:solidFill>
                <a:srgbClr val="001F60"/>
              </a:solidFill>
              <a:ln w="19050">
                <a:solidFill>
                  <a:schemeClr val="tx1"/>
                </a:solidFill>
              </a:ln>
              <a:effectLst/>
            </c:spPr>
          </c:marker>
          <c:xVal>
            <c:numRef>
              <c:f>Models!$D$22</c:f>
              <c:numCache>
                <c:formatCode>General</c:formatCode>
                <c:ptCount val="1"/>
                <c:pt idx="0">
                  <c:v>0.08</c:v>
                </c:pt>
              </c:numCache>
            </c:numRef>
          </c:xVal>
          <c:yVal>
            <c:numRef>
              <c:f>Models!$G$22</c:f>
              <c:numCache>
                <c:formatCode>General</c:formatCode>
                <c:ptCount val="1"/>
                <c:pt idx="0">
                  <c:v>0.00266590351237042</c:v>
                </c:pt>
              </c:numCache>
            </c:numRef>
          </c:yVal>
          <c:smooth val="0"/>
        </c:ser>
        <c:ser>
          <c:idx val="12"/>
          <c:order val="12"/>
          <c:tx>
            <c:v>LHO BS, Aug. 2017, upper limit</c:v>
          </c:tx>
          <c:spPr>
            <a:ln w="25400" cap="rnd">
              <a:noFill/>
              <a:round/>
            </a:ln>
            <a:effectLst/>
          </c:spPr>
          <c:marker>
            <c:symbol val="circle"/>
            <c:size val="5"/>
            <c:spPr>
              <a:solidFill>
                <a:srgbClr val="FFC001"/>
              </a:solidFill>
              <a:ln w="19050">
                <a:solidFill>
                  <a:schemeClr val="tx1"/>
                </a:solidFill>
              </a:ln>
              <a:effectLst/>
            </c:spPr>
          </c:marker>
          <c:xVal>
            <c:numRef>
              <c:f>Models!$D$23</c:f>
              <c:numCache>
                <c:formatCode>General</c:formatCode>
                <c:ptCount val="1"/>
                <c:pt idx="0">
                  <c:v>0.785</c:v>
                </c:pt>
              </c:numCache>
            </c:numRef>
          </c:xVal>
          <c:yVal>
            <c:numRef>
              <c:f>Models!$G$23</c:f>
              <c:numCache>
                <c:formatCode>General</c:formatCode>
                <c:ptCount val="1"/>
                <c:pt idx="0">
                  <c:v>2.87002173646328E-6</c:v>
                </c:pt>
              </c:numCache>
            </c:numRef>
          </c:yVal>
          <c:smooth val="0"/>
        </c:ser>
        <c:dLbls>
          <c:showLegendKey val="0"/>
          <c:showVal val="0"/>
          <c:showCatName val="0"/>
          <c:showSerName val="0"/>
          <c:showPercent val="0"/>
          <c:showBubbleSize val="0"/>
        </c:dLbls>
        <c:axId val="1375321600"/>
        <c:axId val="1375326032"/>
      </c:scatterChart>
      <c:valAx>
        <c:axId val="1375321600"/>
        <c:scaling>
          <c:logBase val="10.0"/>
          <c:orientation val="minMax"/>
          <c:max val="2.0"/>
          <c:min val="0.01"/>
        </c:scaling>
        <c:delete val="0"/>
        <c:axPos val="b"/>
        <c:majorGridlines>
          <c:spPr>
            <a:ln w="9525" cap="flat" cmpd="sng" algn="ctr">
              <a:solidFill>
                <a:schemeClr val="tx1"/>
              </a:solidFill>
              <a:round/>
            </a:ln>
            <a:effectLst/>
          </c:spPr>
        </c:majorGridlines>
        <c:minorGridlines>
          <c:spPr>
            <a:ln w="9525" cap="flat" cmpd="sng" algn="ctr">
              <a:solidFill>
                <a:schemeClr val="bg1">
                  <a:lumMod val="75000"/>
                </a:schemeClr>
              </a:solidFill>
              <a:round/>
            </a:ln>
            <a:effectLst/>
          </c:spPr>
        </c:minorGridlines>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en-US" sz="2000" b="1" i="0" baseline="0"/>
                  <a:t>Radians </a:t>
                </a:r>
              </a:p>
            </c:rich>
          </c:tx>
          <c:layou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75326032"/>
        <c:crossesAt val="1.0E-7"/>
        <c:crossBetween val="midCat"/>
      </c:valAx>
      <c:valAx>
        <c:axId val="1375326032"/>
        <c:scaling>
          <c:logBase val="10.0"/>
          <c:orientation val="minMax"/>
          <c:max val="0.01"/>
        </c:scaling>
        <c:delete val="0"/>
        <c:axPos val="l"/>
        <c:majorGridlines>
          <c:spPr>
            <a:ln w="9525" cap="flat" cmpd="sng" algn="ctr">
              <a:solidFill>
                <a:schemeClr val="bg1">
                  <a:lumMod val="75000"/>
                </a:schemeClr>
              </a:solidFill>
              <a:round/>
            </a:ln>
            <a:effectLst/>
          </c:spPr>
        </c:majorGridlines>
        <c:minorGridlines>
          <c:spPr>
            <a:ln w="9525" cap="flat" cmpd="sng" algn="ctr">
              <a:solidFill>
                <a:schemeClr val="bg1">
                  <a:lumMod val="75000"/>
                </a:schemeClr>
              </a:solidFill>
              <a:round/>
            </a:ln>
            <a:effectLst/>
          </c:spPr>
        </c:minorGridlines>
        <c:title>
          <c:tx>
            <c:rich>
              <a:bodyPr rot="-54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en-US" sz="2000" b="1" i="0" baseline="0"/>
                  <a:t>BRDF (1/STRD)</a:t>
                </a:r>
              </a:p>
            </c:rich>
          </c:tx>
          <c:layout/>
          <c:overlay val="0"/>
          <c:spPr>
            <a:noFill/>
            <a:ln>
              <a:noFill/>
            </a:ln>
            <a:effectLst/>
          </c:spPr>
          <c:txPr>
            <a:bodyPr rot="-54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title>
        <c:numFmt formatCode="0.00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75321600"/>
        <c:crossesAt val="0.01"/>
        <c:crossBetween val="midCat"/>
      </c:valAx>
      <c:spPr>
        <a:noFill/>
        <a:ln>
          <a:solidFill>
            <a:schemeClr val="tx1"/>
          </a:solidFill>
        </a:ln>
        <a:effectLst/>
      </c:spPr>
    </c:plotArea>
    <c:legend>
      <c:legendPos val="t"/>
      <c:layout>
        <c:manualLayout>
          <c:xMode val="edge"/>
          <c:yMode val="edge"/>
          <c:x val="0.620895700980069"/>
          <c:y val="0.112387660085203"/>
          <c:w val="0.368801760372355"/>
          <c:h val="0.437199118954352"/>
        </c:manualLayout>
      </c:layout>
      <c:overlay val="0"/>
      <c:spPr>
        <a:solidFill>
          <a:schemeClr val="bg1">
            <a:alpha val="86000"/>
          </a:schemeClr>
        </a:solid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baseline="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12</xdr:col>
      <xdr:colOff>247650</xdr:colOff>
      <xdr:row>0</xdr:row>
      <xdr:rowOff>38100</xdr:rowOff>
    </xdr:from>
    <xdr:to>
      <xdr:col>24</xdr:col>
      <xdr:colOff>203200</xdr:colOff>
      <xdr:row>37</xdr:row>
      <xdr:rowOff>101600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330200</xdr:colOff>
      <xdr:row>46</xdr:row>
      <xdr:rowOff>139700</xdr:rowOff>
    </xdr:from>
    <xdr:to>
      <xdr:col>23</xdr:col>
      <xdr:colOff>609600</xdr:colOff>
      <xdr:row>76</xdr:row>
      <xdr:rowOff>165100</xdr:rowOff>
    </xdr:to>
    <xdr:pic>
      <xdr:nvPicPr>
        <xdr:cNvPr id="3" name="Picture 2"/>
        <xdr:cNvPicPr/>
      </xdr:nvPicPr>
      <xdr:blipFill>
        <a:blip xmlns:r="http://schemas.openxmlformats.org/officeDocument/2006/relationships" r:embed="rId2"/>
        <a:stretch>
          <a:fillRect/>
        </a:stretch>
      </xdr:blipFill>
      <xdr:spPr>
        <a:xfrm>
          <a:off x="11582400" y="9486900"/>
          <a:ext cx="9359900" cy="6121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97</xdr:row>
      <xdr:rowOff>50800</xdr:rowOff>
    </xdr:from>
    <xdr:to>
      <xdr:col>7</xdr:col>
      <xdr:colOff>901700</xdr:colOff>
      <xdr:row>128</xdr:row>
      <xdr:rowOff>165100</xdr:rowOff>
    </xdr:to>
    <xdr:pic>
      <xdr:nvPicPr>
        <xdr:cNvPr id="3" name="Picture 2"/>
        <xdr:cNvPicPr/>
      </xdr:nvPicPr>
      <xdr:blipFill>
        <a:blip xmlns:r="http://schemas.openxmlformats.org/officeDocument/2006/relationships" r:embed="rId1"/>
        <a:stretch>
          <a:fillRect/>
        </a:stretch>
      </xdr:blipFill>
      <xdr:spPr>
        <a:xfrm>
          <a:off x="863600" y="20472400"/>
          <a:ext cx="8534400" cy="6413500"/>
        </a:xfrm>
        <a:prstGeom prst="rect">
          <a:avLst/>
        </a:prstGeom>
      </xdr:spPr>
    </xdr:pic>
    <xdr:clientData/>
  </xdr:twoCellAnchor>
  <xdr:twoCellAnchor editAs="oneCell">
    <xdr:from>
      <xdr:col>0</xdr:col>
      <xdr:colOff>647700</xdr:colOff>
      <xdr:row>52</xdr:row>
      <xdr:rowOff>25400</xdr:rowOff>
    </xdr:from>
    <xdr:to>
      <xdr:col>8</xdr:col>
      <xdr:colOff>47013</xdr:colOff>
      <xdr:row>86</xdr:row>
      <xdr:rowOff>63500</xdr:rowOff>
    </xdr:to>
    <xdr:pic>
      <xdr:nvPicPr>
        <xdr:cNvPr id="4" name="Picture 3"/>
        <xdr:cNvPicPr>
          <a:picLocks noChangeAspect="1"/>
        </xdr:cNvPicPr>
      </xdr:nvPicPr>
      <xdr:blipFill>
        <a:blip xmlns:r="http://schemas.openxmlformats.org/officeDocument/2006/relationships" r:embed="rId2"/>
        <a:stretch>
          <a:fillRect/>
        </a:stretch>
      </xdr:blipFill>
      <xdr:spPr>
        <a:xfrm>
          <a:off x="647700" y="11303000"/>
          <a:ext cx="9203713" cy="6946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95</xdr:row>
      <xdr:rowOff>50800</xdr:rowOff>
    </xdr:from>
    <xdr:to>
      <xdr:col>7</xdr:col>
      <xdr:colOff>901700</xdr:colOff>
      <xdr:row>126</xdr:row>
      <xdr:rowOff>165100</xdr:rowOff>
    </xdr:to>
    <xdr:pic>
      <xdr:nvPicPr>
        <xdr:cNvPr id="2" name="Picture 1"/>
        <xdr:cNvPicPr/>
      </xdr:nvPicPr>
      <xdr:blipFill>
        <a:blip xmlns:r="http://schemas.openxmlformats.org/officeDocument/2006/relationships" r:embed="rId1"/>
        <a:stretch>
          <a:fillRect/>
        </a:stretch>
      </xdr:blipFill>
      <xdr:spPr>
        <a:xfrm>
          <a:off x="863600" y="20472400"/>
          <a:ext cx="8534400" cy="6413500"/>
        </a:xfrm>
        <a:prstGeom prst="rect">
          <a:avLst/>
        </a:prstGeom>
      </xdr:spPr>
    </xdr:pic>
    <xdr:clientData/>
  </xdr:twoCellAnchor>
  <xdr:twoCellAnchor editAs="oneCell">
    <xdr:from>
      <xdr:col>0</xdr:col>
      <xdr:colOff>647700</xdr:colOff>
      <xdr:row>50</xdr:row>
      <xdr:rowOff>25400</xdr:rowOff>
    </xdr:from>
    <xdr:to>
      <xdr:col>8</xdr:col>
      <xdr:colOff>47013</xdr:colOff>
      <xdr:row>84</xdr:row>
      <xdr:rowOff>63500</xdr:rowOff>
    </xdr:to>
    <xdr:pic>
      <xdr:nvPicPr>
        <xdr:cNvPr id="3" name="Picture 2"/>
        <xdr:cNvPicPr>
          <a:picLocks noChangeAspect="1"/>
        </xdr:cNvPicPr>
      </xdr:nvPicPr>
      <xdr:blipFill>
        <a:blip xmlns:r="http://schemas.openxmlformats.org/officeDocument/2006/relationships" r:embed="rId2"/>
        <a:stretch>
          <a:fillRect/>
        </a:stretch>
      </xdr:blipFill>
      <xdr:spPr>
        <a:xfrm>
          <a:off x="647700" y="11303000"/>
          <a:ext cx="9203713" cy="6946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96"/>
  <sheetViews>
    <sheetView topLeftCell="K1" workbookViewId="0">
      <selection activeCell="N82" sqref="N82"/>
    </sheetView>
  </sheetViews>
  <sheetFormatPr baseColWidth="10" defaultRowHeight="16" x14ac:dyDescent="0.2"/>
  <cols>
    <col min="1" max="1" width="25.1640625" customWidth="1"/>
    <col min="6" max="6" width="12" bestFit="1" customWidth="1"/>
    <col min="7" max="7" width="11.83203125" bestFit="1" customWidth="1"/>
    <col min="8" max="8" width="12" bestFit="1" customWidth="1"/>
    <col min="39" max="39" width="12.1640625" bestFit="1" customWidth="1"/>
    <col min="52" max="52" width="11.83203125" bestFit="1" customWidth="1"/>
  </cols>
  <sheetData>
    <row r="1" spans="1:52" x14ac:dyDescent="0.2">
      <c r="A1" t="s">
        <v>0</v>
      </c>
      <c r="B1" t="s">
        <v>28</v>
      </c>
      <c r="C1" t="s">
        <v>5</v>
      </c>
      <c r="D1" t="s">
        <v>9</v>
      </c>
      <c r="E1" t="s">
        <v>10</v>
      </c>
      <c r="F1" t="s">
        <v>119</v>
      </c>
      <c r="G1" t="s">
        <v>11</v>
      </c>
      <c r="H1" t="s">
        <v>31</v>
      </c>
      <c r="Z1" t="s">
        <v>13</v>
      </c>
      <c r="AB1" t="s">
        <v>2</v>
      </c>
      <c r="AC1" t="s">
        <v>12</v>
      </c>
      <c r="AD1" t="s">
        <v>17</v>
      </c>
      <c r="AE1" t="s">
        <v>14</v>
      </c>
      <c r="AF1" t="s">
        <v>15</v>
      </c>
      <c r="AG1" t="s">
        <v>16</v>
      </c>
      <c r="AM1" t="s">
        <v>20</v>
      </c>
      <c r="AN1" t="s">
        <v>18</v>
      </c>
      <c r="AO1" t="s">
        <v>19</v>
      </c>
      <c r="AP1" t="s">
        <v>106</v>
      </c>
      <c r="AQ1" t="s">
        <v>107</v>
      </c>
      <c r="AT1" t="s">
        <v>21</v>
      </c>
      <c r="AU1" t="s">
        <v>27</v>
      </c>
      <c r="AV1" t="s">
        <v>22</v>
      </c>
      <c r="AW1" t="s">
        <v>23</v>
      </c>
      <c r="AX1" t="s">
        <v>24</v>
      </c>
      <c r="AY1" t="s">
        <v>25</v>
      </c>
      <c r="AZ1" t="s">
        <v>26</v>
      </c>
    </row>
    <row r="2" spans="1:52" x14ac:dyDescent="0.2">
      <c r="A2" s="3" t="s">
        <v>118</v>
      </c>
      <c r="Z2" t="s">
        <v>32</v>
      </c>
      <c r="AB2">
        <v>33</v>
      </c>
      <c r="AC2">
        <v>0.2</v>
      </c>
      <c r="AD2">
        <v>0</v>
      </c>
      <c r="AE2">
        <v>0.91</v>
      </c>
      <c r="AF2">
        <f>SQRT((AC2^(2))+(AE2^(2))-((2*AC2*AE2*COS(RADIANS(AD2)))))</f>
        <v>0.71</v>
      </c>
      <c r="AG2">
        <f t="shared" ref="AG2:AG3" si="0">ATAN(AF2/AB2)</f>
        <v>2.1511832636500167E-2</v>
      </c>
      <c r="AM2">
        <v>1202562072</v>
      </c>
      <c r="AN2">
        <v>650</v>
      </c>
      <c r="AO2">
        <v>2.5</v>
      </c>
      <c r="AP2">
        <v>0.38</v>
      </c>
      <c r="AQ2">
        <v>40</v>
      </c>
      <c r="AT2" t="s">
        <v>3</v>
      </c>
      <c r="AU2">
        <v>645</v>
      </c>
      <c r="AV2">
        <f>AU2*(40/65536)</f>
        <v>0.3936767578125</v>
      </c>
      <c r="AW2" s="2">
        <v>200000</v>
      </c>
      <c r="AX2">
        <v>1</v>
      </c>
      <c r="AY2">
        <v>0.35</v>
      </c>
      <c r="AZ2">
        <f>AV2/(AW2 *AY2*AX2)</f>
        <v>5.623953683035714E-6</v>
      </c>
    </row>
    <row r="3" spans="1:52" x14ac:dyDescent="0.2">
      <c r="A3" t="s">
        <v>3</v>
      </c>
      <c r="B3" s="1">
        <v>3.0000000000000001E-6</v>
      </c>
      <c r="C3">
        <v>33.049999999999997</v>
      </c>
      <c r="D3">
        <v>1.9E-2</v>
      </c>
      <c r="E3">
        <v>110000</v>
      </c>
      <c r="F3">
        <f>0.0001/(C3^2)</f>
        <v>9.1549730958228173E-8</v>
      </c>
      <c r="G3">
        <f>B3/(E3*F3)</f>
        <v>2.9790068181818175E-4</v>
      </c>
      <c r="Z3" t="s">
        <v>33</v>
      </c>
      <c r="AB3">
        <v>33</v>
      </c>
      <c r="AC3">
        <v>0.2</v>
      </c>
      <c r="AD3">
        <v>0</v>
      </c>
      <c r="AE3">
        <v>0.76200000000000001</v>
      </c>
      <c r="AF3">
        <f>SQRT((AC3^(2))+(AE3^(2))-((2*AC3*AE3*COS(RADIANS(AD3)))))</f>
        <v>0.56200000000000006</v>
      </c>
      <c r="AG3">
        <f t="shared" si="0"/>
        <v>1.7028656876892714E-2</v>
      </c>
      <c r="AM3">
        <v>1202169692</v>
      </c>
      <c r="AN3">
        <v>599</v>
      </c>
      <c r="AO3">
        <v>2.5369999999999999</v>
      </c>
      <c r="AP3">
        <v>0.34</v>
      </c>
      <c r="AQ3">
        <v>42</v>
      </c>
      <c r="AT3" t="s">
        <v>7</v>
      </c>
      <c r="AU3">
        <v>2.4900000000000002</v>
      </c>
      <c r="AV3">
        <f t="shared" ref="AV3:AV12" si="1">AU3*(40/65536)</f>
        <v>1.5197753906250001E-3</v>
      </c>
      <c r="AW3" s="2">
        <v>20000</v>
      </c>
      <c r="AX3">
        <v>1</v>
      </c>
      <c r="AY3">
        <v>0.35</v>
      </c>
      <c r="AZ3">
        <f t="shared" ref="AZ3:AZ12" si="2">AV3/(AW3 *AY3*AX3)</f>
        <v>2.1711077008928572E-7</v>
      </c>
    </row>
    <row r="4" spans="1:52" x14ac:dyDescent="0.2">
      <c r="A4" t="s">
        <v>1</v>
      </c>
      <c r="B4" s="1">
        <v>6.0000000000000002E-6</v>
      </c>
      <c r="C4">
        <v>33.06</v>
      </c>
      <c r="D4">
        <v>1.9E-2</v>
      </c>
      <c r="E4">
        <v>110000</v>
      </c>
      <c r="F4">
        <f t="shared" ref="F4:F18" si="3">0.0001/(C4^2)</f>
        <v>9.1494355347241212E-8</v>
      </c>
      <c r="G4">
        <f>B4/(E4*F4)</f>
        <v>5.9616196363636363E-4</v>
      </c>
      <c r="Z4" t="s">
        <v>35</v>
      </c>
      <c r="AB4">
        <v>33</v>
      </c>
      <c r="AC4">
        <v>0.2</v>
      </c>
      <c r="AD4">
        <v>42</v>
      </c>
      <c r="AE4">
        <v>0.76200000000000001</v>
      </c>
      <c r="AF4">
        <f>SQRT((AC4^(2))+(AE4^(2))-((2*AC4*AE4*COS(RADIANS(AD4)))))</f>
        <v>0.62780049155324047</v>
      </c>
      <c r="AG4">
        <f>ATAN(AF4/AB4)</f>
        <v>1.9021962716645011E-2</v>
      </c>
      <c r="AM4">
        <v>1202180414</v>
      </c>
      <c r="AN4">
        <v>686</v>
      </c>
      <c r="AO4">
        <v>2.42</v>
      </c>
      <c r="AP4">
        <v>0.28000000000000003</v>
      </c>
      <c r="AQ4">
        <v>41</v>
      </c>
      <c r="AT4" t="s">
        <v>8</v>
      </c>
      <c r="AU4">
        <v>0.33</v>
      </c>
      <c r="AV4">
        <f t="shared" si="1"/>
        <v>2.0141601562500002E-4</v>
      </c>
      <c r="AW4" s="2">
        <v>20000</v>
      </c>
      <c r="AX4">
        <v>1</v>
      </c>
      <c r="AY4">
        <v>0.35</v>
      </c>
      <c r="AZ4">
        <f t="shared" si="2"/>
        <v>2.8773716517857146E-8</v>
      </c>
    </row>
    <row r="5" spans="1:52" x14ac:dyDescent="0.2">
      <c r="A5" t="s">
        <v>4</v>
      </c>
      <c r="B5" s="1">
        <v>3.0000000000000001E-5</v>
      </c>
      <c r="C5">
        <v>5.58</v>
      </c>
      <c r="D5">
        <v>0.112</v>
      </c>
      <c r="E5">
        <v>110000</v>
      </c>
      <c r="F5">
        <f t="shared" si="3"/>
        <v>3.2116750812553794E-6</v>
      </c>
      <c r="G5">
        <f t="shared" ref="G5:G10" si="4">B5/(E5*F5)</f>
        <v>8.4917454545454553E-5</v>
      </c>
      <c r="Z5" t="s">
        <v>36</v>
      </c>
      <c r="AB5">
        <v>33</v>
      </c>
      <c r="AC5">
        <v>0.2</v>
      </c>
      <c r="AD5">
        <v>138</v>
      </c>
      <c r="AE5">
        <v>0.76200000000000001</v>
      </c>
      <c r="AF5">
        <f t="shared" ref="AF5:AF11" si="5">SQRT((AC5^(2))+(AE5^(2))-((2*AC5*AE5*COS(RADIANS(AD5)))))</f>
        <v>0.92040998625911807</v>
      </c>
      <c r="AG5">
        <f>ATAN(AF5/AB5)</f>
        <v>2.78839827044132E-2</v>
      </c>
      <c r="AM5" t="s">
        <v>30</v>
      </c>
      <c r="AN5">
        <f>AVERAGE(AN2:AN4)</f>
        <v>645</v>
      </c>
      <c r="AO5">
        <f t="shared" ref="AO5:AP5" si="6">AVERAGE(AO2:AO4)</f>
        <v>2.4856666666666665</v>
      </c>
      <c r="AP5">
        <f t="shared" si="6"/>
        <v>0.33333333333333331</v>
      </c>
      <c r="AQ5">
        <v>41</v>
      </c>
    </row>
    <row r="6" spans="1:52" x14ac:dyDescent="0.2">
      <c r="A6" t="s">
        <v>6</v>
      </c>
      <c r="B6" s="1">
        <v>1.8E-5</v>
      </c>
      <c r="C6">
        <v>5.58</v>
      </c>
      <c r="D6">
        <v>0.16300000000000001</v>
      </c>
      <c r="E6">
        <v>110000</v>
      </c>
      <c r="F6">
        <f t="shared" si="3"/>
        <v>3.2116750812553794E-6</v>
      </c>
      <c r="G6">
        <f t="shared" si="4"/>
        <v>5.095047272727273E-5</v>
      </c>
      <c r="Z6" t="s">
        <v>37</v>
      </c>
      <c r="AB6">
        <v>33</v>
      </c>
      <c r="AC6">
        <v>0.2</v>
      </c>
      <c r="AD6">
        <v>180</v>
      </c>
      <c r="AE6">
        <v>0.76200000000000001</v>
      </c>
      <c r="AF6">
        <f t="shared" si="5"/>
        <v>0.96200000000000008</v>
      </c>
      <c r="AG6">
        <f t="shared" ref="AG6:AG11" si="7">ATAN(AF6/AB6)</f>
        <v>2.9143261601663348E-2</v>
      </c>
    </row>
    <row r="7" spans="1:52" x14ac:dyDescent="0.2">
      <c r="A7" t="s">
        <v>29</v>
      </c>
      <c r="B7" s="1"/>
      <c r="F7" t="e">
        <f t="shared" si="3"/>
        <v>#DIV/0!</v>
      </c>
      <c r="G7" t="e">
        <f t="shared" si="4"/>
        <v>#DIV/0!</v>
      </c>
      <c r="Z7" t="s">
        <v>38</v>
      </c>
      <c r="AB7">
        <v>33</v>
      </c>
      <c r="AC7">
        <v>0.2</v>
      </c>
      <c r="AD7">
        <v>101</v>
      </c>
      <c r="AE7">
        <v>0.76200000000000001</v>
      </c>
      <c r="AF7">
        <f t="shared" si="5"/>
        <v>0.82389476378404713</v>
      </c>
      <c r="AG7">
        <f t="shared" si="7"/>
        <v>2.4961322503810213E-2</v>
      </c>
    </row>
    <row r="8" spans="1:52" x14ac:dyDescent="0.2">
      <c r="A8" t="s">
        <v>3</v>
      </c>
      <c r="B8" s="1">
        <f>AZ2</f>
        <v>5.623953683035714E-6</v>
      </c>
      <c r="C8">
        <v>33.049999999999997</v>
      </c>
      <c r="D8">
        <v>1.9E-2</v>
      </c>
      <c r="E8">
        <f>41*36*250/2</f>
        <v>184500</v>
      </c>
      <c r="F8">
        <f t="shared" si="3"/>
        <v>9.1549730958228173E-8</v>
      </c>
      <c r="G8">
        <f t="shared" si="4"/>
        <v>3.329571093693288E-4</v>
      </c>
      <c r="Z8" t="s">
        <v>34</v>
      </c>
      <c r="AB8">
        <v>33</v>
      </c>
      <c r="AC8">
        <v>0.2</v>
      </c>
      <c r="AD8">
        <v>79</v>
      </c>
      <c r="AE8">
        <v>0.76200000000000001</v>
      </c>
      <c r="AF8">
        <f t="shared" si="5"/>
        <v>0.74999027874315083</v>
      </c>
      <c r="AG8">
        <f t="shared" si="7"/>
        <v>2.2723066410180577E-2</v>
      </c>
    </row>
    <row r="9" spans="1:52" x14ac:dyDescent="0.2">
      <c r="A9" t="s">
        <v>7</v>
      </c>
      <c r="B9" s="1">
        <f>AZ3</f>
        <v>2.1711077008928572E-7</v>
      </c>
      <c r="C9">
        <v>13.86</v>
      </c>
      <c r="D9">
        <v>0.08</v>
      </c>
      <c r="E9">
        <f>41*36/2</f>
        <v>738</v>
      </c>
      <c r="F9">
        <f t="shared" si="3"/>
        <v>5.2056329112606177E-7</v>
      </c>
      <c r="G9">
        <f t="shared" si="4"/>
        <v>5.6513403915777426E-4</v>
      </c>
      <c r="Z9" t="s">
        <v>39</v>
      </c>
      <c r="AB9">
        <v>5.58</v>
      </c>
      <c r="AC9">
        <v>0.2</v>
      </c>
      <c r="AD9">
        <v>42</v>
      </c>
      <c r="AE9">
        <v>0.76200000000000001</v>
      </c>
      <c r="AF9">
        <f t="shared" si="5"/>
        <v>0.62780049155324047</v>
      </c>
      <c r="AG9">
        <f t="shared" si="7"/>
        <v>0.11203789799159451</v>
      </c>
      <c r="AM9" t="s">
        <v>20</v>
      </c>
      <c r="AN9" t="s">
        <v>108</v>
      </c>
      <c r="AO9" t="s">
        <v>109</v>
      </c>
      <c r="AP9" t="s">
        <v>110</v>
      </c>
      <c r="AQ9" t="s">
        <v>107</v>
      </c>
      <c r="AT9" t="s">
        <v>21</v>
      </c>
    </row>
    <row r="10" spans="1:52" x14ac:dyDescent="0.2">
      <c r="A10" t="s">
        <v>8</v>
      </c>
      <c r="B10" s="1">
        <f>AZ4</f>
        <v>2.8773716517857146E-8</v>
      </c>
      <c r="C10">
        <v>2.0099999999999998</v>
      </c>
      <c r="D10">
        <v>0.78500000000000003</v>
      </c>
      <c r="E10">
        <f>41*36/2</f>
        <v>738</v>
      </c>
      <c r="F10">
        <f t="shared" si="3"/>
        <v>2.4751862577658976E-5</v>
      </c>
      <c r="G10">
        <f t="shared" si="4"/>
        <v>1.5751855298617155E-6</v>
      </c>
      <c r="Z10" t="s">
        <v>39</v>
      </c>
      <c r="AB10">
        <v>5.58</v>
      </c>
      <c r="AC10">
        <v>-0.2</v>
      </c>
      <c r="AD10">
        <v>42</v>
      </c>
      <c r="AE10">
        <v>0.76200000000000001</v>
      </c>
      <c r="AF10">
        <f t="shared" si="5"/>
        <v>0.92040998625911807</v>
      </c>
      <c r="AG10">
        <f t="shared" si="7"/>
        <v>0.16347602209433129</v>
      </c>
      <c r="AM10" s="7" t="s">
        <v>111</v>
      </c>
      <c r="AN10">
        <v>1400</v>
      </c>
      <c r="AO10">
        <v>68</v>
      </c>
      <c r="AP10">
        <v>15</v>
      </c>
      <c r="AQ10">
        <v>28</v>
      </c>
      <c r="AT10" t="s">
        <v>4</v>
      </c>
      <c r="AU10">
        <v>1360</v>
      </c>
      <c r="AV10">
        <f t="shared" si="1"/>
        <v>0.830078125</v>
      </c>
      <c r="AW10">
        <v>20000</v>
      </c>
      <c r="AX10">
        <v>7.94</v>
      </c>
      <c r="AY10">
        <v>0.35</v>
      </c>
      <c r="AZ10">
        <f t="shared" si="2"/>
        <v>1.4934834922634041E-5</v>
      </c>
    </row>
    <row r="11" spans="1:52" x14ac:dyDescent="0.2">
      <c r="B11" s="1"/>
      <c r="F11" t="e">
        <f t="shared" si="3"/>
        <v>#DIV/0!</v>
      </c>
      <c r="Z11" t="s">
        <v>40</v>
      </c>
      <c r="AB11">
        <v>4.04</v>
      </c>
      <c r="AC11">
        <v>0.2</v>
      </c>
      <c r="AD11">
        <v>20</v>
      </c>
      <c r="AE11">
        <v>0.40600000000000003</v>
      </c>
      <c r="AF11">
        <f t="shared" si="5"/>
        <v>0.22853865840239912</v>
      </c>
      <c r="AG11">
        <f t="shared" si="7"/>
        <v>5.6508749282504503E-2</v>
      </c>
      <c r="AM11" s="7" t="s">
        <v>112</v>
      </c>
      <c r="AN11">
        <v>1330</v>
      </c>
      <c r="AO11">
        <v>65</v>
      </c>
      <c r="AP11">
        <v>40</v>
      </c>
      <c r="AQ11">
        <v>29</v>
      </c>
      <c r="AT11" t="s">
        <v>7</v>
      </c>
      <c r="AU11">
        <v>69</v>
      </c>
      <c r="AV11">
        <f t="shared" si="1"/>
        <v>4.21142578125E-2</v>
      </c>
      <c r="AW11">
        <v>20000</v>
      </c>
      <c r="AX11">
        <v>7.94</v>
      </c>
      <c r="AY11">
        <v>0.35</v>
      </c>
      <c r="AZ11">
        <f t="shared" si="2"/>
        <v>7.5772324239834476E-7</v>
      </c>
    </row>
    <row r="12" spans="1:52" x14ac:dyDescent="0.2">
      <c r="A12" s="3" t="s">
        <v>117</v>
      </c>
      <c r="F12" t="e">
        <f t="shared" si="3"/>
        <v>#DIV/0!</v>
      </c>
      <c r="AM12" s="7" t="s">
        <v>115</v>
      </c>
      <c r="AN12">
        <v>1350</v>
      </c>
      <c r="AO12">
        <v>75</v>
      </c>
      <c r="AP12">
        <v>20</v>
      </c>
      <c r="AQ12">
        <v>29</v>
      </c>
      <c r="AT12" t="s">
        <v>8</v>
      </c>
      <c r="AU12">
        <v>25</v>
      </c>
      <c r="AV12">
        <f t="shared" si="1"/>
        <v>1.52587890625E-2</v>
      </c>
      <c r="AW12">
        <v>200000</v>
      </c>
      <c r="AX12">
        <v>5.62</v>
      </c>
      <c r="AY12">
        <v>0.35</v>
      </c>
      <c r="AZ12">
        <f t="shared" si="2"/>
        <v>3.878695745424504E-8</v>
      </c>
    </row>
    <row r="13" spans="1:52" x14ac:dyDescent="0.2">
      <c r="A13" t="s">
        <v>3</v>
      </c>
      <c r="B13" s="1">
        <v>2.3700000000000002E-6</v>
      </c>
      <c r="C13">
        <v>33.049999999999997</v>
      </c>
      <c r="D13">
        <v>1.9E-2</v>
      </c>
      <c r="E13">
        <f>22*39*250/2</f>
        <v>107250</v>
      </c>
      <c r="F13">
        <f t="shared" si="3"/>
        <v>9.1549730958228173E-8</v>
      </c>
      <c r="G13">
        <f>B13/(E13*F13)</f>
        <v>2.4137593706293701E-4</v>
      </c>
      <c r="AM13" s="7" t="s">
        <v>30</v>
      </c>
      <c r="AN13">
        <f>AVERAGE(AN10:AN12)</f>
        <v>1360</v>
      </c>
      <c r="AO13">
        <f t="shared" ref="AO13:AQ13" si="8">AVERAGE(AO10:AO12)</f>
        <v>69.333333333333329</v>
      </c>
      <c r="AP13">
        <f t="shared" si="8"/>
        <v>25</v>
      </c>
      <c r="AQ13">
        <f t="shared" si="8"/>
        <v>28.666666666666668</v>
      </c>
    </row>
    <row r="14" spans="1:52" x14ac:dyDescent="0.2">
      <c r="A14" t="s">
        <v>1</v>
      </c>
      <c r="B14" s="1">
        <v>3.8630000000000001E-6</v>
      </c>
      <c r="C14">
        <v>33.06</v>
      </c>
      <c r="D14">
        <v>1.9E-2</v>
      </c>
      <c r="E14">
        <f t="shared" ref="E14:E16" si="9">22*39*250/2</f>
        <v>107250</v>
      </c>
      <c r="F14">
        <f t="shared" si="3"/>
        <v>9.1494355347241212E-8</v>
      </c>
      <c r="G14">
        <f t="shared" ref="G14:G17" si="10">B14/(E14*F14)</f>
        <v>3.9367071205594404E-4</v>
      </c>
    </row>
    <row r="15" spans="1:52" x14ac:dyDescent="0.2">
      <c r="A15" t="s">
        <v>4</v>
      </c>
      <c r="B15" s="1">
        <v>1.1834999999999999E-5</v>
      </c>
      <c r="C15">
        <v>5.58</v>
      </c>
      <c r="D15">
        <v>0.112</v>
      </c>
      <c r="E15">
        <f t="shared" si="9"/>
        <v>107250</v>
      </c>
      <c r="F15">
        <f>0.0001/(C15^2)</f>
        <v>3.2116750812553794E-6</v>
      </c>
      <c r="G15">
        <f t="shared" si="10"/>
        <v>3.4358908531468528E-5</v>
      </c>
    </row>
    <row r="16" spans="1:52" x14ac:dyDescent="0.2">
      <c r="A16" t="s">
        <v>6</v>
      </c>
      <c r="B16" s="1">
        <v>8.8759999999999994E-6</v>
      </c>
      <c r="C16">
        <v>5.58</v>
      </c>
      <c r="D16">
        <v>0.16300000000000001</v>
      </c>
      <c r="E16">
        <f t="shared" si="9"/>
        <v>107250</v>
      </c>
      <c r="F16">
        <f t="shared" si="3"/>
        <v>3.2116750812553794E-6</v>
      </c>
      <c r="G16">
        <f t="shared" si="10"/>
        <v>2.5768455608391609E-5</v>
      </c>
    </row>
    <row r="17" spans="1:7" x14ac:dyDescent="0.2">
      <c r="A17" t="s">
        <v>7</v>
      </c>
      <c r="B17" s="1">
        <v>4.8500000000000002E-7</v>
      </c>
      <c r="C17">
        <v>13.86</v>
      </c>
      <c r="D17">
        <v>0.08</v>
      </c>
      <c r="E17">
        <f>22*39/2</f>
        <v>429</v>
      </c>
      <c r="F17">
        <f t="shared" si="3"/>
        <v>5.2056329112606177E-7</v>
      </c>
      <c r="G17">
        <f t="shared" si="10"/>
        <v>2.1717553846153843E-3</v>
      </c>
    </row>
    <row r="18" spans="1:7" x14ac:dyDescent="0.2">
      <c r="A18" t="s">
        <v>8</v>
      </c>
      <c r="B18" s="1">
        <v>1.36E-7</v>
      </c>
      <c r="C18">
        <v>2.0099999999999998</v>
      </c>
      <c r="D18">
        <v>0.78500000000000003</v>
      </c>
      <c r="E18">
        <f>22*39/2</f>
        <v>429</v>
      </c>
      <c r="F18">
        <f>0.0001/(C18^2)</f>
        <v>2.4751862577658976E-5</v>
      </c>
      <c r="G18">
        <f>B18/(E18*F18)</f>
        <v>1.280777622377622E-5</v>
      </c>
    </row>
    <row r="19" spans="1:7" x14ac:dyDescent="0.2">
      <c r="B19" s="1"/>
    </row>
    <row r="20" spans="1:7" x14ac:dyDescent="0.2">
      <c r="A20" t="s">
        <v>116</v>
      </c>
      <c r="B20" s="1"/>
    </row>
    <row r="21" spans="1:7" x14ac:dyDescent="0.2">
      <c r="A21" t="s">
        <v>4</v>
      </c>
      <c r="B21" s="1">
        <f>AZ10</f>
        <v>1.4934834922634041E-5</v>
      </c>
      <c r="C21">
        <v>5.58</v>
      </c>
      <c r="D21">
        <v>0.112</v>
      </c>
      <c r="E21">
        <f>28*39*250/2</f>
        <v>136500</v>
      </c>
      <c r="F21">
        <f t="shared" ref="F19:F23" si="11">0.0001/(C21^2)</f>
        <v>3.2116750812553794E-6</v>
      </c>
      <c r="G21">
        <f t="shared" ref="G19:G23" si="12">B21/(E21*F21)</f>
        <v>3.4067179053853671E-5</v>
      </c>
    </row>
    <row r="22" spans="1:7" x14ac:dyDescent="0.2">
      <c r="A22" t="s">
        <v>7</v>
      </c>
      <c r="B22" s="1">
        <f>AZ11</f>
        <v>7.5772324239834476E-7</v>
      </c>
      <c r="C22">
        <v>13.86</v>
      </c>
      <c r="D22">
        <v>0.08</v>
      </c>
      <c r="E22">
        <f>28*39/2</f>
        <v>546</v>
      </c>
      <c r="F22">
        <f t="shared" si="11"/>
        <v>5.2056329112606177E-7</v>
      </c>
      <c r="G22">
        <f t="shared" si="12"/>
        <v>2.6659035123704224E-3</v>
      </c>
    </row>
    <row r="23" spans="1:7" x14ac:dyDescent="0.2">
      <c r="A23" t="s">
        <v>8</v>
      </c>
      <c r="B23" s="1">
        <f>AZ12</f>
        <v>3.878695745424504E-8</v>
      </c>
      <c r="C23">
        <v>2.0099999999999998</v>
      </c>
      <c r="D23">
        <v>0.78500000000000003</v>
      </c>
      <c r="E23">
        <f>28*39/2</f>
        <v>546</v>
      </c>
      <c r="F23">
        <f t="shared" si="11"/>
        <v>2.4751862577658976E-5</v>
      </c>
      <c r="G23">
        <f t="shared" si="12"/>
        <v>2.8700217364632848E-6</v>
      </c>
    </row>
    <row r="24" spans="1:7" x14ac:dyDescent="0.2">
      <c r="B24" s="1"/>
    </row>
    <row r="25" spans="1:7" x14ac:dyDescent="0.2">
      <c r="B25" s="1"/>
    </row>
    <row r="26" spans="1:7" x14ac:dyDescent="0.2">
      <c r="B26" s="1"/>
    </row>
    <row r="27" spans="1:7" x14ac:dyDescent="0.2">
      <c r="B27" s="1"/>
    </row>
    <row r="28" spans="1:7" x14ac:dyDescent="0.2">
      <c r="B28" s="1"/>
    </row>
    <row r="29" spans="1:7" x14ac:dyDescent="0.2">
      <c r="A29" t="s">
        <v>114</v>
      </c>
      <c r="B29" s="1" t="s">
        <v>113</v>
      </c>
    </row>
    <row r="30" spans="1:7" x14ac:dyDescent="0.2">
      <c r="A30" t="s">
        <v>3</v>
      </c>
      <c r="B30" s="1">
        <v>1.4200000000000001E-4</v>
      </c>
      <c r="C30">
        <v>32</v>
      </c>
      <c r="D30">
        <v>2.7E-2</v>
      </c>
      <c r="E30">
        <v>130000</v>
      </c>
      <c r="F30">
        <f>0.0133/C30^2</f>
        <v>1.2988281249999999E-5</v>
      </c>
      <c r="G30">
        <f t="shared" ref="G30:G31" si="13">B30/(E30*F30)</f>
        <v>8.4099479467900532E-5</v>
      </c>
    </row>
    <row r="31" spans="1:7" x14ac:dyDescent="0.2">
      <c r="A31" t="s">
        <v>4</v>
      </c>
      <c r="B31" s="1">
        <v>8.4200000000000007E-6</v>
      </c>
      <c r="C31">
        <v>5.2</v>
      </c>
      <c r="D31">
        <v>0.185</v>
      </c>
      <c r="E31">
        <v>130000</v>
      </c>
      <c r="F31" s="1">
        <f>0.0003/C31^2</f>
        <v>1.1094674556213016E-5</v>
      </c>
      <c r="G31">
        <f t="shared" si="13"/>
        <v>5.8378666666666679E-6</v>
      </c>
    </row>
    <row r="32" spans="1:7" x14ac:dyDescent="0.2">
      <c r="B32" s="1" t="s">
        <v>113</v>
      </c>
    </row>
    <row r="33" spans="1:10" x14ac:dyDescent="0.2">
      <c r="A33" t="s">
        <v>3</v>
      </c>
      <c r="B33">
        <v>10.84</v>
      </c>
      <c r="C33">
        <v>32</v>
      </c>
      <c r="D33">
        <v>2.7E-2</v>
      </c>
      <c r="E33">
        <v>130000</v>
      </c>
      <c r="G33">
        <f>B33/E33</f>
        <v>8.338461538461539E-5</v>
      </c>
    </row>
    <row r="34" spans="1:10" x14ac:dyDescent="0.2">
      <c r="A34" t="s">
        <v>4</v>
      </c>
      <c r="B34" s="1">
        <v>1.4200000000000001E-2</v>
      </c>
      <c r="C34">
        <v>5.2</v>
      </c>
      <c r="D34">
        <v>0.185</v>
      </c>
      <c r="E34">
        <v>130000</v>
      </c>
      <c r="G34">
        <f>B34/E34</f>
        <v>1.0923076923076923E-7</v>
      </c>
    </row>
    <row r="35" spans="1:10" x14ac:dyDescent="0.2">
      <c r="B35" s="1"/>
    </row>
    <row r="36" spans="1:10" x14ac:dyDescent="0.2">
      <c r="B36" s="1"/>
    </row>
    <row r="37" spans="1:10" x14ac:dyDescent="0.2">
      <c r="B37" s="1"/>
    </row>
    <row r="39" spans="1:10" x14ac:dyDescent="0.2">
      <c r="H39" t="s">
        <v>120</v>
      </c>
      <c r="I39" t="s">
        <v>48</v>
      </c>
      <c r="J39" t="s">
        <v>100</v>
      </c>
    </row>
    <row r="40" spans="1:10" x14ac:dyDescent="0.2">
      <c r="A40">
        <v>2436</v>
      </c>
      <c r="D40">
        <v>0.01</v>
      </c>
      <c r="H40">
        <f>0.000003/(D40^1.3)</f>
        <v>1.1943215116604919E-3</v>
      </c>
      <c r="I40">
        <f>0.0000008/(D40^1.8)</f>
        <v>3.1848573644279758E-3</v>
      </c>
      <c r="J40">
        <f>0.000005/(D40^1.1)</f>
        <v>7.9244659623055704E-4</v>
      </c>
    </row>
    <row r="41" spans="1:10" x14ac:dyDescent="0.2">
      <c r="D41">
        <v>1.4999999999999999E-2</v>
      </c>
      <c r="H41">
        <f t="shared" ref="H41:H92" si="14">0.000003/(D41^1.3)</f>
        <v>7.0502191674598382E-4</v>
      </c>
      <c r="I41">
        <f t="shared" ref="I41:I92" si="15">0.0000008/(D41^1.8)</f>
        <v>1.5350612920058866E-3</v>
      </c>
      <c r="J41">
        <f t="shared" ref="J41:J92" si="16">0.000005/(D41^1.1)</f>
        <v>5.0730555675588575E-4</v>
      </c>
    </row>
    <row r="42" spans="1:10" x14ac:dyDescent="0.2">
      <c r="D42">
        <v>0.02</v>
      </c>
      <c r="H42">
        <f t="shared" si="14"/>
        <v>4.8504525493301808E-4</v>
      </c>
      <c r="I42">
        <f t="shared" si="15"/>
        <v>9.1461010385465269E-4</v>
      </c>
      <c r="J42">
        <f t="shared" si="16"/>
        <v>3.6968940915707853E-4</v>
      </c>
    </row>
    <row r="43" spans="1:10" x14ac:dyDescent="0.2">
      <c r="D43">
        <f>D42+0.005</f>
        <v>2.5000000000000001E-2</v>
      </c>
      <c r="H43">
        <f t="shared" si="14"/>
        <v>3.6291025743986633E-4</v>
      </c>
      <c r="I43">
        <f t="shared" si="15"/>
        <v>6.1206559986562361E-4</v>
      </c>
      <c r="J43">
        <f t="shared" si="16"/>
        <v>2.8922510991838505E-4</v>
      </c>
    </row>
    <row r="44" spans="1:10" x14ac:dyDescent="0.2">
      <c r="D44">
        <f t="shared" ref="D44:D58" si="17">D43+0.005</f>
        <v>3.0000000000000002E-2</v>
      </c>
      <c r="H44">
        <f t="shared" si="14"/>
        <v>2.8632787068029583E-4</v>
      </c>
      <c r="I44">
        <f t="shared" si="15"/>
        <v>4.4083059523669622E-4</v>
      </c>
      <c r="J44">
        <f t="shared" si="16"/>
        <v>2.3666641062159482E-4</v>
      </c>
    </row>
    <row r="45" spans="1:10" x14ac:dyDescent="0.2">
      <c r="D45">
        <f t="shared" si="17"/>
        <v>3.5000000000000003E-2</v>
      </c>
      <c r="H45">
        <f t="shared" si="14"/>
        <v>2.3433264633136199E-4</v>
      </c>
      <c r="I45">
        <f t="shared" si="15"/>
        <v>3.3401618175543852E-4</v>
      </c>
      <c r="J45">
        <f t="shared" si="16"/>
        <v>1.997538486262607E-4</v>
      </c>
    </row>
    <row r="46" spans="1:10" x14ac:dyDescent="0.2">
      <c r="D46">
        <f t="shared" si="17"/>
        <v>0.04</v>
      </c>
      <c r="H46">
        <f t="shared" si="14"/>
        <v>1.9698958533028251E-4</v>
      </c>
      <c r="I46">
        <f t="shared" si="15"/>
        <v>2.626527804403767E-4</v>
      </c>
      <c r="J46">
        <f t="shared" si="16"/>
        <v>1.7246620768265189E-4</v>
      </c>
    </row>
    <row r="47" spans="1:10" x14ac:dyDescent="0.2">
      <c r="D47">
        <f t="shared" si="17"/>
        <v>4.4999999999999998E-2</v>
      </c>
      <c r="H47">
        <f t="shared" si="14"/>
        <v>1.6902268127462377E-4</v>
      </c>
      <c r="I47">
        <f t="shared" si="15"/>
        <v>2.1247481618421146E-4</v>
      </c>
      <c r="J47">
        <f t="shared" si="16"/>
        <v>1.5150823509988784E-4</v>
      </c>
    </row>
    <row r="48" spans="1:10" x14ac:dyDescent="0.2">
      <c r="D48">
        <f t="shared" si="17"/>
        <v>4.9999999999999996E-2</v>
      </c>
      <c r="H48">
        <f t="shared" si="14"/>
        <v>1.4738736313389493E-4</v>
      </c>
      <c r="I48">
        <f t="shared" si="15"/>
        <v>1.7576968692897897E-4</v>
      </c>
      <c r="J48">
        <f t="shared" si="16"/>
        <v>1.3492828476735646E-4</v>
      </c>
    </row>
    <row r="49" spans="4:10" x14ac:dyDescent="0.2">
      <c r="D49">
        <f t="shared" si="17"/>
        <v>5.4999999999999993E-2</v>
      </c>
      <c r="H49">
        <f t="shared" si="14"/>
        <v>1.3021162487495173E-4</v>
      </c>
      <c r="I49">
        <f t="shared" si="15"/>
        <v>1.4805979573956124E-4</v>
      </c>
      <c r="J49">
        <f t="shared" si="16"/>
        <v>1.2149853627135977E-4</v>
      </c>
    </row>
    <row r="50" spans="4:10" x14ac:dyDescent="0.2">
      <c r="D50">
        <f t="shared" si="17"/>
        <v>5.9999999999999991E-2</v>
      </c>
      <c r="H50">
        <f t="shared" si="14"/>
        <v>1.1628524955182423E-4</v>
      </c>
      <c r="I50">
        <f t="shared" si="15"/>
        <v>1.2659534489518914E-4</v>
      </c>
      <c r="J50">
        <f t="shared" si="16"/>
        <v>1.1040878454927252E-4</v>
      </c>
    </row>
    <row r="51" spans="4:10" x14ac:dyDescent="0.2">
      <c r="D51">
        <f t="shared" si="17"/>
        <v>6.4999999999999988E-2</v>
      </c>
      <c r="H51">
        <f t="shared" si="14"/>
        <v>1.0479339032505412E-4</v>
      </c>
      <c r="I51">
        <f t="shared" si="15"/>
        <v>1.0960893172574278E-4</v>
      </c>
      <c r="J51">
        <f t="shared" si="16"/>
        <v>1.0110329555003683E-4</v>
      </c>
    </row>
    <row r="52" spans="4:10" x14ac:dyDescent="0.2">
      <c r="D52">
        <f t="shared" si="17"/>
        <v>6.9999999999999993E-2</v>
      </c>
      <c r="H52">
        <f t="shared" si="14"/>
        <v>9.5168626763573531E-5</v>
      </c>
      <c r="I52">
        <f t="shared" si="15"/>
        <v>9.5920959631215803E-5</v>
      </c>
      <c r="J52">
        <f t="shared" si="16"/>
        <v>9.3188465477375343E-5</v>
      </c>
    </row>
    <row r="53" spans="4:10" x14ac:dyDescent="0.2">
      <c r="D53">
        <f t="shared" si="17"/>
        <v>7.4999999999999997E-2</v>
      </c>
      <c r="H53">
        <f t="shared" si="14"/>
        <v>8.7004479318407863E-5</v>
      </c>
      <c r="I53">
        <f t="shared" si="15"/>
        <v>8.471878386965984E-5</v>
      </c>
      <c r="J53">
        <f t="shared" si="16"/>
        <v>8.6377894676583798E-5</v>
      </c>
    </row>
    <row r="54" spans="4:10" x14ac:dyDescent="0.2">
      <c r="D54">
        <f t="shared" si="17"/>
        <v>0.08</v>
      </c>
      <c r="H54">
        <f t="shared" si="14"/>
        <v>8.000263137087157E-5</v>
      </c>
      <c r="I54">
        <f t="shared" si="15"/>
        <v>7.5427204206814579E-5</v>
      </c>
      <c r="J54">
        <f t="shared" si="16"/>
        <v>8.0458330846576529E-5</v>
      </c>
    </row>
    <row r="55" spans="4:10" x14ac:dyDescent="0.2">
      <c r="D55">
        <f t="shared" si="17"/>
        <v>8.5000000000000006E-2</v>
      </c>
      <c r="H55">
        <f t="shared" si="14"/>
        <v>7.3939524153192541E-5</v>
      </c>
      <c r="I55">
        <f t="shared" si="15"/>
        <v>6.7629460151375349E-5</v>
      </c>
      <c r="J55">
        <f t="shared" si="16"/>
        <v>7.5267793727779584E-5</v>
      </c>
    </row>
    <row r="56" spans="4:10" x14ac:dyDescent="0.2">
      <c r="D56">
        <f>D55+0.005</f>
        <v>9.0000000000000011E-2</v>
      </c>
      <c r="H56">
        <f t="shared" si="14"/>
        <v>6.8644538951934651E-5</v>
      </c>
      <c r="I56">
        <f t="shared" si="15"/>
        <v>6.101736795727526E-5</v>
      </c>
      <c r="J56">
        <f t="shared" si="16"/>
        <v>7.0681090918855123E-5</v>
      </c>
    </row>
    <row r="57" spans="4:10" x14ac:dyDescent="0.2">
      <c r="D57">
        <f t="shared" si="17"/>
        <v>9.5000000000000015E-2</v>
      </c>
      <c r="H57">
        <f t="shared" si="14"/>
        <v>6.3985352646277188E-5</v>
      </c>
      <c r="I57">
        <f t="shared" si="15"/>
        <v>5.5358905801771094E-5</v>
      </c>
      <c r="J57">
        <f t="shared" si="16"/>
        <v>6.6599970763106758E-5</v>
      </c>
    </row>
    <row r="58" spans="4:10" x14ac:dyDescent="0.2">
      <c r="D58">
        <f t="shared" si="17"/>
        <v>0.10000000000000002</v>
      </c>
      <c r="H58">
        <f t="shared" si="14"/>
        <v>5.9857869449066393E-5</v>
      </c>
      <c r="I58">
        <f t="shared" si="15"/>
        <v>5.0476587558415437E-5</v>
      </c>
      <c r="J58">
        <f t="shared" si="16"/>
        <v>6.2946270589708372E-5</v>
      </c>
    </row>
    <row r="59" spans="4:10" x14ac:dyDescent="0.2">
      <c r="D59">
        <f>D58+0.05</f>
        <v>0.15000000000000002</v>
      </c>
      <c r="H59">
        <f t="shared" si="14"/>
        <v>3.5334798410051639E-5</v>
      </c>
      <c r="I59">
        <f t="shared" si="15"/>
        <v>2.4329081917106894E-5</v>
      </c>
      <c r="J59">
        <f t="shared" si="16"/>
        <v>4.0296712736372127E-5</v>
      </c>
    </row>
    <row r="60" spans="4:10" x14ac:dyDescent="0.2">
      <c r="D60">
        <f t="shared" ref="D60:D70" si="18">D59+0.05</f>
        <v>0.2</v>
      </c>
      <c r="H60">
        <f t="shared" si="14"/>
        <v>2.4309848950391435E-5</v>
      </c>
      <c r="I60">
        <f t="shared" si="15"/>
        <v>1.449559327355391E-5</v>
      </c>
      <c r="J60">
        <f t="shared" si="16"/>
        <v>2.9365473577200476E-5</v>
      </c>
    </row>
    <row r="61" spans="4:10" x14ac:dyDescent="0.2">
      <c r="D61">
        <f t="shared" si="18"/>
        <v>0.25</v>
      </c>
      <c r="H61">
        <f t="shared" si="14"/>
        <v>1.8188598798124779E-5</v>
      </c>
      <c r="I61">
        <f t="shared" si="15"/>
        <v>9.7005860256665467E-6</v>
      </c>
      <c r="J61">
        <f t="shared" si="16"/>
        <v>2.2973967099940703E-5</v>
      </c>
    </row>
    <row r="62" spans="4:10" x14ac:dyDescent="0.2">
      <c r="D62">
        <f t="shared" si="18"/>
        <v>0.3</v>
      </c>
      <c r="H62">
        <f t="shared" si="14"/>
        <v>1.4350387341664477E-5</v>
      </c>
      <c r="I62">
        <f t="shared" si="15"/>
        <v>6.9866940941922031E-6</v>
      </c>
      <c r="J62">
        <f t="shared" si="16"/>
        <v>1.8799081216758329E-5</v>
      </c>
    </row>
    <row r="63" spans="4:10" x14ac:dyDescent="0.2">
      <c r="D63">
        <f t="shared" si="18"/>
        <v>0.35</v>
      </c>
      <c r="H63">
        <f t="shared" si="14"/>
        <v>1.1744453076337332E-5</v>
      </c>
      <c r="I63">
        <f t="shared" si="15"/>
        <v>5.2937997263604855E-6</v>
      </c>
      <c r="J63">
        <f t="shared" si="16"/>
        <v>1.5867012195867904E-5</v>
      </c>
    </row>
    <row r="64" spans="4:10" x14ac:dyDescent="0.2">
      <c r="D64">
        <f t="shared" si="18"/>
        <v>0.39999999999999997</v>
      </c>
      <c r="H64">
        <f t="shared" si="14"/>
        <v>9.8728665325067799E-6</v>
      </c>
      <c r="I64">
        <f t="shared" si="15"/>
        <v>4.1627660370093662E-6</v>
      </c>
      <c r="J64">
        <f t="shared" si="16"/>
        <v>1.3699477829815219E-5</v>
      </c>
    </row>
    <row r="65" spans="4:17" x14ac:dyDescent="0.2">
      <c r="D65">
        <f t="shared" si="18"/>
        <v>0.44999999999999996</v>
      </c>
      <c r="H65">
        <f t="shared" si="14"/>
        <v>8.4712010048292827E-6</v>
      </c>
      <c r="I65">
        <f t="shared" si="15"/>
        <v>3.3674988973978311E-6</v>
      </c>
      <c r="J65">
        <f t="shared" si="16"/>
        <v>1.2034726893308534E-5</v>
      </c>
    </row>
    <row r="66" spans="4:17" x14ac:dyDescent="0.2">
      <c r="D66">
        <f>D65+0.05</f>
        <v>0.49999999999999994</v>
      </c>
      <c r="H66">
        <f t="shared" si="14"/>
        <v>7.3868664800694981E-6</v>
      </c>
      <c r="I66">
        <f t="shared" si="15"/>
        <v>2.7857618025475973E-6</v>
      </c>
      <c r="J66">
        <f t="shared" si="16"/>
        <v>1.0717734625362935E-5</v>
      </c>
    </row>
    <row r="67" spans="4:17" x14ac:dyDescent="0.2">
      <c r="D67">
        <f t="shared" si="18"/>
        <v>0.54999999999999993</v>
      </c>
      <c r="H67">
        <f t="shared" si="14"/>
        <v>6.5260404057189156E-6</v>
      </c>
      <c r="I67">
        <f t="shared" si="15"/>
        <v>2.3465896234481353E-6</v>
      </c>
      <c r="J67">
        <f t="shared" si="16"/>
        <v>9.6509717838013298E-6</v>
      </c>
    </row>
    <row r="68" spans="4:17" x14ac:dyDescent="0.2">
      <c r="D68">
        <f t="shared" si="18"/>
        <v>0.6</v>
      </c>
      <c r="H68">
        <f t="shared" si="14"/>
        <v>5.8280682534535786E-6</v>
      </c>
      <c r="I68">
        <f t="shared" si="15"/>
        <v>2.0064010032165206E-6</v>
      </c>
      <c r="J68">
        <f t="shared" si="16"/>
        <v>8.7700814929077139E-6</v>
      </c>
    </row>
    <row r="69" spans="4:17" x14ac:dyDescent="0.2">
      <c r="D69">
        <f t="shared" si="18"/>
        <v>0.65</v>
      </c>
      <c r="H69">
        <f t="shared" si="14"/>
        <v>5.252110939943682E-6</v>
      </c>
      <c r="I69">
        <f t="shared" si="15"/>
        <v>1.7371844972506471E-6</v>
      </c>
      <c r="J69">
        <f t="shared" si="16"/>
        <v>8.0309202279068058E-6</v>
      </c>
    </row>
    <row r="70" spans="4:17" x14ac:dyDescent="0.2">
      <c r="D70">
        <f t="shared" si="18"/>
        <v>0.70000000000000007</v>
      </c>
      <c r="H70">
        <f t="shared" si="14"/>
        <v>4.7697300775741774E-6</v>
      </c>
      <c r="I70">
        <f t="shared" si="15"/>
        <v>1.5202447593385101E-6</v>
      </c>
      <c r="J70">
        <f t="shared" si="16"/>
        <v>7.4022229279308162E-6</v>
      </c>
      <c r="P70" s="8"/>
      <c r="Q70" s="8"/>
    </row>
    <row r="71" spans="4:17" x14ac:dyDescent="0.2">
      <c r="D71">
        <f>D70+0.05</f>
        <v>0.75000000000000011</v>
      </c>
      <c r="H71">
        <f t="shared" si="14"/>
        <v>4.3605534302774034E-6</v>
      </c>
      <c r="I71">
        <f t="shared" si="15"/>
        <v>1.3427022382860824E-6</v>
      </c>
      <c r="J71">
        <f t="shared" si="16"/>
        <v>6.86124005976507E-6</v>
      </c>
      <c r="P71" s="8"/>
      <c r="Q71" s="9"/>
    </row>
    <row r="72" spans="4:17" x14ac:dyDescent="0.2">
      <c r="D72">
        <f t="shared" ref="D72:D92" si="19">D71+0.05</f>
        <v>0.80000000000000016</v>
      </c>
      <c r="H72">
        <f t="shared" si="14"/>
        <v>4.0096297499669541E-6</v>
      </c>
      <c r="I72">
        <f t="shared" si="15"/>
        <v>1.1954406247375459E-6</v>
      </c>
      <c r="J72">
        <f t="shared" si="16"/>
        <v>6.3910323910223301E-6</v>
      </c>
      <c r="P72" s="8"/>
      <c r="Q72" s="9"/>
    </row>
    <row r="73" spans="4:17" x14ac:dyDescent="0.2">
      <c r="D73">
        <f t="shared" si="19"/>
        <v>0.8500000000000002</v>
      </c>
      <c r="H73">
        <f t="shared" si="14"/>
        <v>3.7057545566055443E-6</v>
      </c>
      <c r="I73">
        <f t="shared" si="15"/>
        <v>1.0718547100373492E-6</v>
      </c>
      <c r="J73">
        <f t="shared" si="16"/>
        <v>5.9787333723378479E-6</v>
      </c>
      <c r="P73" s="8"/>
      <c r="Q73" s="9"/>
    </row>
    <row r="74" spans="4:17" x14ac:dyDescent="0.2">
      <c r="D74">
        <f t="shared" si="19"/>
        <v>0.90000000000000024</v>
      </c>
      <c r="H74">
        <f t="shared" si="14"/>
        <v>3.4403766580939655E-6</v>
      </c>
      <c r="I74">
        <f t="shared" si="15"/>
        <v>9.6706011097380366E-7</v>
      </c>
      <c r="J74">
        <f t="shared" si="16"/>
        <v>5.6143986177960614E-6</v>
      </c>
      <c r="P74" s="8"/>
      <c r="Q74" s="9"/>
    </row>
    <row r="75" spans="4:17" x14ac:dyDescent="0.2">
      <c r="D75">
        <f t="shared" si="19"/>
        <v>0.95000000000000029</v>
      </c>
      <c r="H75">
        <f t="shared" si="14"/>
        <v>3.2068641885453125E-6</v>
      </c>
      <c r="I75">
        <f t="shared" si="15"/>
        <v>8.7737952947323024E-7</v>
      </c>
      <c r="J75">
        <f t="shared" si="16"/>
        <v>5.2902237208947339E-6</v>
      </c>
      <c r="P75" s="8"/>
      <c r="Q75" s="9"/>
    </row>
    <row r="76" spans="4:17" x14ac:dyDescent="0.2">
      <c r="D76">
        <f t="shared" si="19"/>
        <v>1.0000000000000002</v>
      </c>
      <c r="H76">
        <f t="shared" si="14"/>
        <v>2.9999999999999992E-6</v>
      </c>
      <c r="I76">
        <f t="shared" si="15"/>
        <v>7.9999999999999965E-7</v>
      </c>
      <c r="J76">
        <f t="shared" si="16"/>
        <v>4.9999999999999996E-6</v>
      </c>
      <c r="P76" s="8"/>
      <c r="Q76" s="9"/>
    </row>
    <row r="77" spans="4:17" x14ac:dyDescent="0.2">
      <c r="D77">
        <f t="shared" si="19"/>
        <v>1.0500000000000003</v>
      </c>
      <c r="H77">
        <f t="shared" si="14"/>
        <v>2.8156272903240162E-6</v>
      </c>
      <c r="I77">
        <f t="shared" si="15"/>
        <v>7.3273890080615679E-7</v>
      </c>
      <c r="J77">
        <f t="shared" si="16"/>
        <v>4.7387279364281292E-6</v>
      </c>
      <c r="P77" s="8"/>
      <c r="Q77" s="8"/>
    </row>
    <row r="78" spans="4:17" x14ac:dyDescent="0.2">
      <c r="D78">
        <f t="shared" si="19"/>
        <v>1.1000000000000003</v>
      </c>
      <c r="H78">
        <f t="shared" si="14"/>
        <v>2.6503959791314032E-6</v>
      </c>
      <c r="I78">
        <f t="shared" si="15"/>
        <v>6.7388091007699563E-7</v>
      </c>
      <c r="J78">
        <f t="shared" si="16"/>
        <v>4.5023375373387346E-6</v>
      </c>
      <c r="P78" s="8"/>
      <c r="Q78" s="8"/>
    </row>
    <row r="79" spans="4:17" x14ac:dyDescent="0.2">
      <c r="D79">
        <f t="shared" si="19"/>
        <v>1.1500000000000004</v>
      </c>
      <c r="H79">
        <f t="shared" si="14"/>
        <v>2.5015780771216029E-6</v>
      </c>
      <c r="I79">
        <f t="shared" si="15"/>
        <v>6.2206228936118749E-7</v>
      </c>
      <c r="J79">
        <f t="shared" si="16"/>
        <v>4.2874826928095936E-6</v>
      </c>
      <c r="P79" s="8"/>
      <c r="Q79" s="8"/>
    </row>
    <row r="80" spans="4:17" x14ac:dyDescent="0.2">
      <c r="D80">
        <f t="shared" si="19"/>
        <v>1.2000000000000004</v>
      </c>
      <c r="H80">
        <f t="shared" si="14"/>
        <v>2.3669312024976836E-6</v>
      </c>
      <c r="I80">
        <f t="shared" si="15"/>
        <v>5.7618738296480415E-7</v>
      </c>
      <c r="J80">
        <f t="shared" si="16"/>
        <v>4.0913876856746351E-6</v>
      </c>
      <c r="P80" s="8"/>
      <c r="Q80" s="8"/>
    </row>
    <row r="81" spans="4:17" x14ac:dyDescent="0.2">
      <c r="D81">
        <f t="shared" si="19"/>
        <v>1.2500000000000004</v>
      </c>
      <c r="H81">
        <f t="shared" si="14"/>
        <v>2.2445962747742905E-6</v>
      </c>
      <c r="I81">
        <f t="shared" si="15"/>
        <v>5.3536745092673152E-7</v>
      </c>
      <c r="J81">
        <f t="shared" si="16"/>
        <v>3.9117310741717131E-6</v>
      </c>
      <c r="N81" s="8" t="s">
        <v>133</v>
      </c>
      <c r="O81" s="8"/>
      <c r="P81" s="8"/>
      <c r="Q81" s="8"/>
    </row>
    <row r="82" spans="4:17" x14ac:dyDescent="0.2">
      <c r="D82">
        <f t="shared" si="19"/>
        <v>1.3000000000000005</v>
      </c>
      <c r="H82">
        <f t="shared" si="14"/>
        <v>2.1330198484490267E-6</v>
      </c>
      <c r="I82">
        <f t="shared" si="15"/>
        <v>4.9887524357954204E-7</v>
      </c>
      <c r="J82">
        <f t="shared" si="16"/>
        <v>3.7465567625186712E-6</v>
      </c>
      <c r="N82" s="8" t="s">
        <v>41</v>
      </c>
      <c r="O82" s="9">
        <v>9.9999999999999995E-7</v>
      </c>
      <c r="P82" s="8"/>
      <c r="Q82" s="8"/>
    </row>
    <row r="83" spans="4:17" x14ac:dyDescent="0.2">
      <c r="D83">
        <f t="shared" si="19"/>
        <v>1.3500000000000005</v>
      </c>
      <c r="H83">
        <f t="shared" si="14"/>
        <v>2.0308944636233373E-6</v>
      </c>
      <c r="I83">
        <f t="shared" si="15"/>
        <v>4.6611084062329048E-7</v>
      </c>
      <c r="J83">
        <f t="shared" si="16"/>
        <v>3.5942051239776356E-6</v>
      </c>
      <c r="N83" s="8" t="s">
        <v>42</v>
      </c>
      <c r="O83" s="9">
        <v>9.9999999999999995E-7</v>
      </c>
      <c r="P83" s="8"/>
      <c r="Q83" s="8"/>
    </row>
    <row r="84" spans="4:17" x14ac:dyDescent="0.2">
      <c r="D84">
        <f t="shared" si="19"/>
        <v>1.4000000000000006</v>
      </c>
      <c r="H84">
        <f t="shared" si="14"/>
        <v>1.9371123427410184E-6</v>
      </c>
      <c r="I84">
        <f t="shared" si="15"/>
        <v>4.3657566356125218E-7</v>
      </c>
      <c r="J84">
        <f t="shared" si="16"/>
        <v>3.453259101234816E-6</v>
      </c>
      <c r="N84" s="8" t="s">
        <v>7</v>
      </c>
      <c r="O84" s="9">
        <v>9.9999999999999995E-7</v>
      </c>
      <c r="P84" s="8"/>
      <c r="Q84" s="8"/>
    </row>
    <row r="85" spans="4:17" x14ac:dyDescent="0.2">
      <c r="D85">
        <f t="shared" si="19"/>
        <v>1.4500000000000006</v>
      </c>
      <c r="H85">
        <f t="shared" si="14"/>
        <v>1.8507290921302218E-6</v>
      </c>
      <c r="I85">
        <f t="shared" si="15"/>
        <v>4.0985249476061534E-7</v>
      </c>
      <c r="J85">
        <f t="shared" si="16"/>
        <v>3.3225016238825893E-6</v>
      </c>
      <c r="N85" s="8" t="s">
        <v>45</v>
      </c>
      <c r="O85" s="9">
        <v>7.9999999999999996E-7</v>
      </c>
      <c r="P85" s="8"/>
      <c r="Q85" s="8"/>
    </row>
    <row r="86" spans="4:17" x14ac:dyDescent="0.2">
      <c r="D86">
        <f>D85+0.05</f>
        <v>1.5000000000000007</v>
      </c>
      <c r="H86">
        <f t="shared" si="14"/>
        <v>1.770934986591111E-6</v>
      </c>
      <c r="I86">
        <f t="shared" si="15"/>
        <v>3.8558996309251476E-7</v>
      </c>
      <c r="J86">
        <f t="shared" si="16"/>
        <v>3.2008816693073921E-6</v>
      </c>
      <c r="N86" s="8" t="s">
        <v>46</v>
      </c>
      <c r="O86" s="9">
        <v>3.0000000000000001E-3</v>
      </c>
    </row>
    <row r="87" spans="4:17" x14ac:dyDescent="0.2">
      <c r="D87">
        <f t="shared" si="19"/>
        <v>1.5500000000000007</v>
      </c>
      <c r="H87">
        <f t="shared" si="14"/>
        <v>1.6970320603756088E-6</v>
      </c>
      <c r="I87">
        <f t="shared" si="15"/>
        <v>3.6349038737624559E-7</v>
      </c>
      <c r="J87">
        <f t="shared" si="16"/>
        <v>3.0874869907094847E-6</v>
      </c>
      <c r="N87" s="8" t="s">
        <v>47</v>
      </c>
      <c r="O87" s="9">
        <v>0.03</v>
      </c>
    </row>
    <row r="88" spans="4:17" x14ac:dyDescent="0.2">
      <c r="D88">
        <f t="shared" si="19"/>
        <v>1.6000000000000008</v>
      </c>
      <c r="H88">
        <f t="shared" si="14"/>
        <v>1.6284156864559552E-6</v>
      </c>
      <c r="I88">
        <f t="shared" si="15"/>
        <v>3.4330016978316146E-7</v>
      </c>
      <c r="J88">
        <f t="shared" si="16"/>
        <v>2.981522035402099E-6</v>
      </c>
      <c r="N88" s="8" t="s">
        <v>43</v>
      </c>
      <c r="O88" s="8">
        <v>0.02</v>
      </c>
    </row>
    <row r="89" spans="4:17" x14ac:dyDescent="0.2">
      <c r="D89">
        <f t="shared" si="19"/>
        <v>1.6500000000000008</v>
      </c>
      <c r="H89">
        <f t="shared" si="14"/>
        <v>1.5645596559214028E-6</v>
      </c>
      <c r="I89">
        <f t="shared" si="15"/>
        <v>3.2480214405667391E-7</v>
      </c>
      <c r="J89">
        <f t="shared" si="16"/>
        <v>2.8822899384604289E-6</v>
      </c>
      <c r="N89" s="8" t="s">
        <v>44</v>
      </c>
      <c r="O89" s="8">
        <v>0.02</v>
      </c>
    </row>
    <row r="90" spans="4:17" x14ac:dyDescent="0.2">
      <c r="D90">
        <f t="shared" si="19"/>
        <v>1.7000000000000008</v>
      </c>
      <c r="H90">
        <f t="shared" si="14"/>
        <v>1.5050040094554456E-6</v>
      </c>
      <c r="I90">
        <f t="shared" si="15"/>
        <v>3.0780943555393156E-7</v>
      </c>
      <c r="J90">
        <f t="shared" si="16"/>
        <v>2.7891777419966625E-6</v>
      </c>
      <c r="N90" s="8" t="s">
        <v>3</v>
      </c>
      <c r="O90" s="8">
        <v>1</v>
      </c>
    </row>
    <row r="91" spans="4:17" x14ac:dyDescent="0.2">
      <c r="D91">
        <f t="shared" si="19"/>
        <v>1.7500000000000009</v>
      </c>
      <c r="H91">
        <f t="shared" si="14"/>
        <v>1.4493450494452633E-6</v>
      </c>
      <c r="I91">
        <f t="shared" si="15"/>
        <v>2.9216050017179258E-7</v>
      </c>
      <c r="J91">
        <f t="shared" si="16"/>
        <v>2.7016441866933025E-6</v>
      </c>
      <c r="N91" s="8" t="s">
        <v>1</v>
      </c>
      <c r="O91" s="8">
        <v>1</v>
      </c>
    </row>
    <row r="92" spans="4:17" x14ac:dyDescent="0.2">
      <c r="D92">
        <f t="shared" si="19"/>
        <v>1.8000000000000009</v>
      </c>
      <c r="H92">
        <f t="shared" si="14"/>
        <v>1.3972270924524401E-6</v>
      </c>
      <c r="I92">
        <f t="shared" si="15"/>
        <v>2.7771508966471445E-7</v>
      </c>
      <c r="J92">
        <f t="shared" si="16"/>
        <v>2.6192095690211874E-6</v>
      </c>
      <c r="N92" s="8" t="s">
        <v>4</v>
      </c>
      <c r="O92" s="8">
        <v>1</v>
      </c>
    </row>
    <row r="93" spans="4:17" x14ac:dyDescent="0.2">
      <c r="N93" s="8" t="s">
        <v>6</v>
      </c>
      <c r="O93" s="8">
        <v>1</v>
      </c>
    </row>
    <row r="94" spans="4:17" x14ac:dyDescent="0.2">
      <c r="N94" s="8" t="s">
        <v>60</v>
      </c>
      <c r="O94" s="8">
        <v>0.03</v>
      </c>
    </row>
    <row r="95" spans="4:17" x14ac:dyDescent="0.2">
      <c r="N95" s="8" t="s">
        <v>61</v>
      </c>
      <c r="O95" s="8">
        <v>0.03</v>
      </c>
    </row>
    <row r="96" spans="4:17" x14ac:dyDescent="0.2">
      <c r="N96" s="8" t="s">
        <v>62</v>
      </c>
      <c r="O96" s="8">
        <v>0.03</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abSelected="1" workbookViewId="0">
      <selection activeCell="N1" sqref="N1"/>
    </sheetView>
  </sheetViews>
  <sheetFormatPr baseColWidth="10" defaultRowHeight="16" x14ac:dyDescent="0.2"/>
  <cols>
    <col min="2" max="4" width="20.1640625" customWidth="1"/>
    <col min="6" max="6" width="18.5" customWidth="1"/>
    <col min="8" max="8" width="17.1640625" customWidth="1"/>
    <col min="9" max="9" width="11.83203125" bestFit="1" customWidth="1"/>
    <col min="10" max="11" width="11.83203125" customWidth="1"/>
    <col min="18" max="18" width="34.83203125" customWidth="1"/>
    <col min="19" max="19" width="51.6640625" customWidth="1"/>
    <col min="20" max="20" width="12.1640625" customWidth="1"/>
    <col min="24" max="24" width="21.6640625" customWidth="1"/>
    <col min="28" max="28" width="32.6640625" customWidth="1"/>
    <col min="29" max="29" width="52.83203125" customWidth="1"/>
    <col min="30" max="30" width="10.83203125" style="1"/>
    <col min="31" max="31" width="11.33203125" customWidth="1"/>
    <col min="34" max="34" width="32.83203125" customWidth="1"/>
    <col min="35" max="35" width="51" customWidth="1"/>
  </cols>
  <sheetData>
    <row r="1" spans="1:30" s="6" customFormat="1" ht="72" customHeight="1" x14ac:dyDescent="0.2">
      <c r="A1" s="6" t="s">
        <v>121</v>
      </c>
      <c r="B1" s="6" t="s">
        <v>122</v>
      </c>
      <c r="C1" s="6" t="s">
        <v>130</v>
      </c>
      <c r="D1" s="6" t="s">
        <v>101</v>
      </c>
      <c r="E1" s="6" t="s">
        <v>99</v>
      </c>
      <c r="F1" s="6" t="s">
        <v>95</v>
      </c>
      <c r="G1" s="6" t="s">
        <v>123</v>
      </c>
      <c r="H1" s="6" t="s">
        <v>124</v>
      </c>
      <c r="I1" s="6" t="s">
        <v>96</v>
      </c>
      <c r="J1" s="6" t="s">
        <v>64</v>
      </c>
      <c r="K1" s="6" t="s">
        <v>65</v>
      </c>
      <c r="L1" s="6" t="s">
        <v>63</v>
      </c>
      <c r="M1" s="6" t="s">
        <v>98</v>
      </c>
      <c r="N1" s="6" t="s">
        <v>136</v>
      </c>
      <c r="O1" s="6" t="s">
        <v>97</v>
      </c>
      <c r="Q1" s="11" t="s">
        <v>134</v>
      </c>
      <c r="R1" s="6" t="s">
        <v>121</v>
      </c>
      <c r="S1" s="6" t="s">
        <v>122</v>
      </c>
      <c r="T1" s="10" t="s">
        <v>126</v>
      </c>
      <c r="U1" s="6" t="s">
        <v>129</v>
      </c>
      <c r="V1" s="6" t="s">
        <v>131</v>
      </c>
    </row>
    <row r="2" spans="1:30" x14ac:dyDescent="0.2">
      <c r="R2" s="3" t="s">
        <v>132</v>
      </c>
      <c r="T2" s="1"/>
      <c r="AD2"/>
    </row>
    <row r="3" spans="1:30" x14ac:dyDescent="0.2">
      <c r="A3" t="s">
        <v>41</v>
      </c>
      <c r="B3" t="s">
        <v>81</v>
      </c>
      <c r="C3">
        <v>25.8</v>
      </c>
      <c r="D3">
        <v>1</v>
      </c>
      <c r="E3" s="1">
        <f>Models!O85</f>
        <v>7.9999999999999996E-7</v>
      </c>
      <c r="F3" s="4">
        <v>4.0000000000000001E-3</v>
      </c>
      <c r="G3">
        <v>0.03</v>
      </c>
      <c r="H3">
        <v>453</v>
      </c>
      <c r="I3">
        <f>(6.28*(1-COS(G3)))/(3.14*H3^2)</f>
        <v>4.3854436307613887E-9</v>
      </c>
      <c r="J3">
        <v>4817</v>
      </c>
      <c r="K3">
        <f>J3*I3</f>
        <v>2.1124681969377609E-5</v>
      </c>
      <c r="L3">
        <f>0.000005/G3^1.1</f>
        <v>2.3666641062159482E-4</v>
      </c>
      <c r="M3" s="1">
        <f>L3^2*E3*F3*K3/C3^2</f>
        <v>5.6881886847005628E-24</v>
      </c>
      <c r="N3" s="1">
        <f>M3/M$26</f>
        <v>9.5333533334395552E-12</v>
      </c>
      <c r="R3" t="s">
        <v>57</v>
      </c>
      <c r="S3" t="s">
        <v>77</v>
      </c>
      <c r="T3" s="1">
        <v>1</v>
      </c>
      <c r="U3">
        <v>1</v>
      </c>
      <c r="V3" s="1">
        <f>T3*U3</f>
        <v>1</v>
      </c>
      <c r="AD3"/>
    </row>
    <row r="4" spans="1:30" x14ac:dyDescent="0.2">
      <c r="A4" t="s">
        <v>42</v>
      </c>
      <c r="B4" t="s">
        <v>82</v>
      </c>
      <c r="C4">
        <v>14</v>
      </c>
      <c r="D4">
        <v>1</v>
      </c>
      <c r="E4" s="1">
        <f>Models!O85</f>
        <v>7.9999999999999996E-7</v>
      </c>
      <c r="F4" s="4">
        <v>4.0000000000000001E-3</v>
      </c>
      <c r="G4">
        <v>0.06</v>
      </c>
      <c r="H4">
        <v>450</v>
      </c>
      <c r="I4">
        <f t="shared" ref="I4:I30" si="0">(6.28*(1-COS(G4)))/(3.14*H4^2)</f>
        <v>1.7772445084403066E-8</v>
      </c>
      <c r="J4">
        <v>3000</v>
      </c>
      <c r="K4">
        <f t="shared" ref="K4:K34" si="1">J4*I4</f>
        <v>5.3317335253209198E-5</v>
      </c>
      <c r="L4">
        <f t="shared" ref="L4:L36" si="2">0.000005/G4^1.1</f>
        <v>1.1040878454927252E-4</v>
      </c>
      <c r="M4" s="1">
        <f t="shared" ref="M4:M36" si="3">L4^2*E4*F4*K4/C4^2</f>
        <v>1.0611324616752064E-23</v>
      </c>
      <c r="N4" s="1">
        <f t="shared" ref="N4:N36" si="4">M4/M$26</f>
        <v>1.7784485099697045E-11</v>
      </c>
      <c r="R4" t="s">
        <v>54</v>
      </c>
      <c r="S4" t="s">
        <v>70</v>
      </c>
      <c r="T4" s="1">
        <v>0.94766640239931277</v>
      </c>
      <c r="U4">
        <v>1</v>
      </c>
      <c r="V4" s="1">
        <f>T4*U4</f>
        <v>0.94766640239931277</v>
      </c>
      <c r="AD4"/>
    </row>
    <row r="5" spans="1:30" x14ac:dyDescent="0.2">
      <c r="A5" t="s">
        <v>7</v>
      </c>
      <c r="B5" t="s">
        <v>81</v>
      </c>
      <c r="C5">
        <v>26</v>
      </c>
      <c r="D5">
        <v>1</v>
      </c>
      <c r="E5" s="1">
        <f>Models!O85</f>
        <v>7.9999999999999996E-7</v>
      </c>
      <c r="F5" s="4">
        <v>4.0000000000000001E-3</v>
      </c>
      <c r="G5">
        <v>0.03</v>
      </c>
      <c r="H5">
        <v>330</v>
      </c>
      <c r="I5">
        <f t="shared" si="0"/>
        <v>8.263842993800862E-9</v>
      </c>
      <c r="J5">
        <v>7921</v>
      </c>
      <c r="K5">
        <f t="shared" si="1"/>
        <v>6.5457900353896629E-5</v>
      </c>
      <c r="L5">
        <f t="shared" si="2"/>
        <v>2.3666641062159482E-4</v>
      </c>
      <c r="M5" s="1">
        <f t="shared" si="3"/>
        <v>1.735555880084249E-23</v>
      </c>
      <c r="N5" s="1">
        <f t="shared" si="4"/>
        <v>2.9087761239837971E-11</v>
      </c>
      <c r="R5" t="s">
        <v>54</v>
      </c>
      <c r="S5" t="s">
        <v>74</v>
      </c>
      <c r="T5" s="1">
        <v>3.1049784610200315</v>
      </c>
      <c r="U5">
        <v>0.1</v>
      </c>
      <c r="V5" s="1">
        <f>T5*U5</f>
        <v>0.31049784610200315</v>
      </c>
      <c r="AD5"/>
    </row>
    <row r="6" spans="1:30" x14ac:dyDescent="0.2">
      <c r="A6" t="s">
        <v>49</v>
      </c>
      <c r="B6" t="s">
        <v>83</v>
      </c>
      <c r="C6">
        <v>19.8</v>
      </c>
      <c r="D6" t="s">
        <v>102</v>
      </c>
      <c r="E6" s="1">
        <f>Models!O85</f>
        <v>7.9999999999999996E-7</v>
      </c>
      <c r="F6" s="4">
        <v>4.0000000000000001E-3</v>
      </c>
      <c r="G6">
        <v>0.02</v>
      </c>
      <c r="H6">
        <v>105</v>
      </c>
      <c r="I6">
        <f t="shared" si="0"/>
        <v>3.6279969781812917E-8</v>
      </c>
      <c r="J6">
        <v>400</v>
      </c>
      <c r="K6">
        <f t="shared" si="1"/>
        <v>1.4511987912725167E-5</v>
      </c>
      <c r="L6">
        <f t="shared" si="2"/>
        <v>3.6968940915707853E-4</v>
      </c>
      <c r="M6" s="1">
        <f t="shared" si="3"/>
        <v>1.6189018672887437E-23</v>
      </c>
      <c r="N6" s="1">
        <f t="shared" si="4"/>
        <v>2.7132650424448986E-11</v>
      </c>
      <c r="R6" t="s">
        <v>57</v>
      </c>
      <c r="S6" t="s">
        <v>73</v>
      </c>
      <c r="T6" s="1">
        <v>2.2409565420752893</v>
      </c>
      <c r="U6">
        <v>0.1</v>
      </c>
      <c r="V6" s="1">
        <f>T6*U6</f>
        <v>0.22409565420752894</v>
      </c>
      <c r="AD6"/>
    </row>
    <row r="7" spans="1:30" x14ac:dyDescent="0.2">
      <c r="A7" t="s">
        <v>49</v>
      </c>
      <c r="B7" t="s">
        <v>84</v>
      </c>
      <c r="C7">
        <v>21.3</v>
      </c>
      <c r="D7">
        <v>1</v>
      </c>
      <c r="E7" s="1">
        <f>Models!O85</f>
        <v>7.9999999999999996E-7</v>
      </c>
      <c r="F7" s="4">
        <v>4.0000000000000001E-3</v>
      </c>
      <c r="G7">
        <v>0.05</v>
      </c>
      <c r="H7">
        <v>299</v>
      </c>
      <c r="I7">
        <f t="shared" si="0"/>
        <v>2.795806769574652E-8</v>
      </c>
      <c r="J7">
        <v>2677</v>
      </c>
      <c r="K7">
        <f t="shared" si="1"/>
        <v>7.4843747221513439E-5</v>
      </c>
      <c r="L7">
        <f t="shared" si="2"/>
        <v>1.3492828476735638E-4</v>
      </c>
      <c r="M7" s="1">
        <f t="shared" si="3"/>
        <v>9.6106396534599453E-24</v>
      </c>
      <c r="N7" s="1">
        <f t="shared" si="4"/>
        <v>1.6107346056088483E-11</v>
      </c>
      <c r="R7" t="s">
        <v>55</v>
      </c>
      <c r="S7" t="s">
        <v>73</v>
      </c>
      <c r="T7" s="1">
        <v>1.3094735085651539</v>
      </c>
      <c r="U7">
        <v>0.1</v>
      </c>
      <c r="V7" s="1">
        <f>T7*U7</f>
        <v>0.1309473508565154</v>
      </c>
      <c r="AD7"/>
    </row>
    <row r="8" spans="1:30" x14ac:dyDescent="0.2">
      <c r="A8" t="s">
        <v>51</v>
      </c>
      <c r="B8" t="s">
        <v>85</v>
      </c>
      <c r="C8">
        <v>2</v>
      </c>
      <c r="D8">
        <v>1</v>
      </c>
      <c r="E8" s="1">
        <f>Models!O$86</f>
        <v>3.0000000000000001E-3</v>
      </c>
      <c r="F8" s="4">
        <v>4.0000000000000001E-3</v>
      </c>
      <c r="G8">
        <v>0.7</v>
      </c>
      <c r="H8">
        <v>600</v>
      </c>
      <c r="I8">
        <f t="shared" si="0"/>
        <v>1.3064322928639528E-6</v>
      </c>
      <c r="J8">
        <v>75000</v>
      </c>
      <c r="K8">
        <f t="shared" si="1"/>
        <v>9.7982421964796465E-2</v>
      </c>
      <c r="L8">
        <f t="shared" si="2"/>
        <v>7.4022229279308179E-6</v>
      </c>
      <c r="M8" s="1">
        <f t="shared" si="3"/>
        <v>1.6106224401985961E-17</v>
      </c>
      <c r="N8" s="1">
        <f t="shared" si="4"/>
        <v>2.6993887967322475E-5</v>
      </c>
      <c r="R8" t="s">
        <v>55</v>
      </c>
      <c r="S8" t="s">
        <v>72</v>
      </c>
      <c r="T8" s="1">
        <v>0.84624690859006724</v>
      </c>
      <c r="U8">
        <v>0.1</v>
      </c>
      <c r="V8" s="1">
        <f>T8*U8</f>
        <v>8.4624690859006729E-2</v>
      </c>
      <c r="AD8"/>
    </row>
    <row r="9" spans="1:30" x14ac:dyDescent="0.2">
      <c r="A9" t="s">
        <v>51</v>
      </c>
      <c r="B9" t="s">
        <v>86</v>
      </c>
      <c r="C9">
        <v>6.6</v>
      </c>
      <c r="D9">
        <v>1</v>
      </c>
      <c r="E9" s="1">
        <f>Models!O$86</f>
        <v>3.0000000000000001E-3</v>
      </c>
      <c r="F9" s="4">
        <v>4.0000000000000001E-3</v>
      </c>
      <c r="G9">
        <v>0.05</v>
      </c>
      <c r="H9">
        <v>70</v>
      </c>
      <c r="I9">
        <f t="shared" si="0"/>
        <v>5.1009779797294582E-7</v>
      </c>
      <c r="J9">
        <v>1517</v>
      </c>
      <c r="K9">
        <f t="shared" si="1"/>
        <v>7.7381835952495886E-4</v>
      </c>
      <c r="L9">
        <f t="shared" si="2"/>
        <v>1.3492828476735638E-4</v>
      </c>
      <c r="M9" s="1">
        <f t="shared" si="3"/>
        <v>3.8809531818058033E-18</v>
      </c>
      <c r="N9" s="1">
        <f t="shared" si="4"/>
        <v>6.5044428030676122E-6</v>
      </c>
      <c r="R9" t="s">
        <v>57</v>
      </c>
      <c r="S9" t="s">
        <v>72</v>
      </c>
      <c r="T9" s="1">
        <v>0.25161962254904324</v>
      </c>
      <c r="U9">
        <v>0.1</v>
      </c>
      <c r="V9" s="1">
        <f>T9*U9</f>
        <v>2.5161962254904326E-2</v>
      </c>
      <c r="AD9"/>
    </row>
    <row r="10" spans="1:30" x14ac:dyDescent="0.2">
      <c r="A10" t="s">
        <v>51</v>
      </c>
      <c r="B10" t="s">
        <v>87</v>
      </c>
      <c r="C10">
        <v>5.5</v>
      </c>
      <c r="D10" t="s">
        <v>103</v>
      </c>
      <c r="E10" s="1">
        <f>Models!O$86</f>
        <v>3.0000000000000001E-3</v>
      </c>
      <c r="F10" s="4">
        <v>4.0000000000000001E-3</v>
      </c>
      <c r="G10">
        <v>0.03</v>
      </c>
      <c r="H10">
        <v>40</v>
      </c>
      <c r="I10">
        <f t="shared" si="0"/>
        <v>5.6245781376557112E-7</v>
      </c>
      <c r="J10">
        <v>3000</v>
      </c>
      <c r="K10">
        <f t="shared" si="1"/>
        <v>1.6873734412967134E-3</v>
      </c>
      <c r="L10">
        <f t="shared" si="2"/>
        <v>2.3666641062159482E-4</v>
      </c>
      <c r="M10" s="1">
        <f t="shared" si="3"/>
        <v>3.7492148154389101E-17</v>
      </c>
      <c r="N10" s="1">
        <f t="shared" si="4"/>
        <v>6.2836504799290184E-5</v>
      </c>
      <c r="R10" t="s">
        <v>54</v>
      </c>
      <c r="S10" t="s">
        <v>69</v>
      </c>
      <c r="T10" s="1">
        <v>1.3247705908631923E-2</v>
      </c>
      <c r="U10">
        <v>1</v>
      </c>
      <c r="V10" s="1">
        <f>T10*U10</f>
        <v>1.3247705908631923E-2</v>
      </c>
      <c r="AD10"/>
    </row>
    <row r="11" spans="1:30" x14ac:dyDescent="0.2">
      <c r="A11" t="s">
        <v>51</v>
      </c>
      <c r="B11" t="s">
        <v>88</v>
      </c>
      <c r="C11">
        <v>1</v>
      </c>
      <c r="D11" t="s">
        <v>104</v>
      </c>
      <c r="E11" s="1">
        <f>Models!O$86</f>
        <v>3.0000000000000001E-3</v>
      </c>
      <c r="F11" s="4">
        <v>4.0000000000000001E-3</v>
      </c>
      <c r="G11">
        <v>0.25</v>
      </c>
      <c r="H11">
        <v>313</v>
      </c>
      <c r="I11">
        <f t="shared" si="0"/>
        <v>6.3464112707806069E-7</v>
      </c>
      <c r="J11">
        <v>2204</v>
      </c>
      <c r="K11">
        <f t="shared" si="1"/>
        <v>1.3987490440800457E-3</v>
      </c>
      <c r="L11">
        <f t="shared" si="2"/>
        <v>2.2973967099940703E-5</v>
      </c>
      <c r="M11" s="1">
        <f t="shared" si="3"/>
        <v>8.8591700584782934E-18</v>
      </c>
      <c r="N11" s="1">
        <f t="shared" si="4"/>
        <v>1.4847889739604859E-5</v>
      </c>
      <c r="R11" t="s">
        <v>52</v>
      </c>
      <c r="S11" t="s">
        <v>67</v>
      </c>
      <c r="T11" s="1">
        <v>1.4692969472474015E-3</v>
      </c>
      <c r="U11">
        <v>1</v>
      </c>
      <c r="V11" s="1">
        <f>T11*U11</f>
        <v>1.4692969472474015E-3</v>
      </c>
      <c r="AD11"/>
    </row>
    <row r="12" spans="1:30" x14ac:dyDescent="0.2">
      <c r="A12" t="s">
        <v>50</v>
      </c>
      <c r="B12" t="s">
        <v>66</v>
      </c>
      <c r="C12">
        <v>6</v>
      </c>
      <c r="D12">
        <v>1</v>
      </c>
      <c r="E12" s="1">
        <f>Models!O$86</f>
        <v>3.0000000000000001E-3</v>
      </c>
      <c r="F12" s="4">
        <v>4.0000000000000001E-3</v>
      </c>
      <c r="G12">
        <v>0.05</v>
      </c>
      <c r="H12">
        <v>86</v>
      </c>
      <c r="I12">
        <f t="shared" si="0"/>
        <v>3.3795013656942059E-7</v>
      </c>
      <c r="J12">
        <v>3000</v>
      </c>
      <c r="K12">
        <f t="shared" si="1"/>
        <v>1.0138504097082618E-3</v>
      </c>
      <c r="L12">
        <f t="shared" si="2"/>
        <v>1.3492828476735638E-4</v>
      </c>
      <c r="M12" s="1">
        <f t="shared" si="3"/>
        <v>6.1525992104606265E-18</v>
      </c>
      <c r="N12" s="1">
        <f t="shared" si="4"/>
        <v>1.0311701218724621E-5</v>
      </c>
      <c r="R12" t="s">
        <v>51</v>
      </c>
      <c r="S12" t="s">
        <v>85</v>
      </c>
      <c r="T12" s="1">
        <v>2.6993887967322475E-5</v>
      </c>
      <c r="U12">
        <v>1</v>
      </c>
      <c r="V12" s="1">
        <f>T12*U12</f>
        <v>2.6993887967322475E-5</v>
      </c>
      <c r="AD12"/>
    </row>
    <row r="13" spans="1:30" x14ac:dyDescent="0.2">
      <c r="A13" t="s">
        <v>52</v>
      </c>
      <c r="B13" t="s">
        <v>67</v>
      </c>
      <c r="C13">
        <v>0.9</v>
      </c>
      <c r="D13">
        <v>1</v>
      </c>
      <c r="E13" s="1">
        <f>Models!O87</f>
        <v>0.03</v>
      </c>
      <c r="F13" s="4">
        <v>4.0000000000000001E-3</v>
      </c>
      <c r="G13">
        <v>0.7</v>
      </c>
      <c r="H13">
        <v>900</v>
      </c>
      <c r="I13">
        <f t="shared" si="0"/>
        <v>5.8063657460620126E-7</v>
      </c>
      <c r="J13">
        <v>186000</v>
      </c>
      <c r="K13">
        <f t="shared" si="1"/>
        <v>0.10799840287675344</v>
      </c>
      <c r="L13">
        <f t="shared" si="2"/>
        <v>7.4022229279308179E-6</v>
      </c>
      <c r="M13" s="1">
        <f t="shared" si="3"/>
        <v>8.7667350380082706E-16</v>
      </c>
      <c r="N13" s="1">
        <f t="shared" si="4"/>
        <v>1.4692969472474015E-3</v>
      </c>
      <c r="R13" t="s">
        <v>50</v>
      </c>
      <c r="S13" t="s">
        <v>66</v>
      </c>
      <c r="T13" s="1">
        <v>1.0311701218724621E-5</v>
      </c>
      <c r="U13">
        <v>1</v>
      </c>
      <c r="V13" s="1">
        <f>T13*U13</f>
        <v>1.0311701218724621E-5</v>
      </c>
      <c r="AD13"/>
    </row>
    <row r="14" spans="1:30" x14ac:dyDescent="0.2">
      <c r="A14" t="s">
        <v>53</v>
      </c>
      <c r="B14" t="s">
        <v>68</v>
      </c>
      <c r="C14">
        <v>5.6</v>
      </c>
      <c r="D14">
        <v>1</v>
      </c>
      <c r="E14">
        <f>Models!O88</f>
        <v>0.02</v>
      </c>
      <c r="F14" s="4">
        <v>4.0000000000000001E-3</v>
      </c>
      <c r="G14">
        <v>0.08</v>
      </c>
      <c r="H14">
        <v>218</v>
      </c>
      <c r="I14">
        <f t="shared" si="0"/>
        <v>1.345969908837876E-7</v>
      </c>
      <c r="J14">
        <v>1149</v>
      </c>
      <c r="K14">
        <f t="shared" si="1"/>
        <v>1.5465194252547196E-4</v>
      </c>
      <c r="L14">
        <f t="shared" si="2"/>
        <v>8.0458330846576529E-5</v>
      </c>
      <c r="M14" s="1">
        <f t="shared" si="3"/>
        <v>2.5539438785125556E-18</v>
      </c>
      <c r="N14" s="1">
        <f t="shared" si="4"/>
        <v>4.2803870858086566E-6</v>
      </c>
      <c r="R14" t="s">
        <v>93</v>
      </c>
      <c r="S14" t="s">
        <v>94</v>
      </c>
      <c r="T14" s="1">
        <v>7.9511996504884883E-4</v>
      </c>
      <c r="U14">
        <v>0.01</v>
      </c>
      <c r="V14" s="1">
        <f>T14*U14</f>
        <v>7.9511996504884877E-6</v>
      </c>
      <c r="AD14"/>
    </row>
    <row r="15" spans="1:30" x14ac:dyDescent="0.2">
      <c r="A15" t="s">
        <v>53</v>
      </c>
      <c r="B15" t="s">
        <v>75</v>
      </c>
      <c r="C15">
        <v>3.7</v>
      </c>
      <c r="D15" t="s">
        <v>104</v>
      </c>
      <c r="E15">
        <f>Models!O88</f>
        <v>0.02</v>
      </c>
      <c r="F15" s="4">
        <v>4.0000000000000001E-3</v>
      </c>
      <c r="G15">
        <v>0.06</v>
      </c>
      <c r="H15">
        <v>182</v>
      </c>
      <c r="I15">
        <f t="shared" si="0"/>
        <v>1.0864992541938235E-7</v>
      </c>
      <c r="J15">
        <v>2357</v>
      </c>
      <c r="K15">
        <f t="shared" si="1"/>
        <v>2.5608787421348421E-4</v>
      </c>
      <c r="L15">
        <f t="shared" si="2"/>
        <v>1.1040878454927252E-4</v>
      </c>
      <c r="M15" s="1">
        <f t="shared" si="3"/>
        <v>1.8242435179370247E-17</v>
      </c>
      <c r="N15" s="1">
        <f t="shared" si="4"/>
        <v>3.0574158113824838E-5</v>
      </c>
      <c r="R15" t="s">
        <v>51</v>
      </c>
      <c r="S15" t="s">
        <v>86</v>
      </c>
      <c r="T15" s="1">
        <v>6.5044428030676122E-6</v>
      </c>
      <c r="U15">
        <v>1</v>
      </c>
      <c r="V15" s="1">
        <f>T15*U15</f>
        <v>6.5044428030676122E-6</v>
      </c>
      <c r="AD15"/>
    </row>
    <row r="16" spans="1:30" x14ac:dyDescent="0.2">
      <c r="A16" t="s">
        <v>54</v>
      </c>
      <c r="B16" t="s">
        <v>74</v>
      </c>
      <c r="C16">
        <v>0.61</v>
      </c>
      <c r="D16" t="s">
        <v>104</v>
      </c>
      <c r="E16">
        <f>Models!O$90</f>
        <v>1</v>
      </c>
      <c r="F16" s="4">
        <v>1</v>
      </c>
      <c r="G16">
        <v>0.43</v>
      </c>
      <c r="H16">
        <v>875</v>
      </c>
      <c r="I16">
        <f t="shared" si="0"/>
        <v>2.3780375595132064E-7</v>
      </c>
      <c r="J16">
        <v>18110</v>
      </c>
      <c r="K16">
        <f t="shared" si="1"/>
        <v>4.306626020278417E-3</v>
      </c>
      <c r="L16">
        <f t="shared" si="2"/>
        <v>1.26518694866225E-5</v>
      </c>
      <c r="M16" s="1">
        <f t="shared" si="3"/>
        <v>1.8526223386961064E-12</v>
      </c>
      <c r="N16" s="1">
        <f t="shared" si="4"/>
        <v>3.1049784610200315</v>
      </c>
      <c r="R16" t="s">
        <v>54</v>
      </c>
      <c r="S16" t="s">
        <v>71</v>
      </c>
      <c r="T16" s="1">
        <v>6.0697652080993348E-6</v>
      </c>
      <c r="U16">
        <v>1</v>
      </c>
      <c r="V16" s="1">
        <f>T16*U16</f>
        <v>6.0697652080993348E-6</v>
      </c>
      <c r="AD16"/>
    </row>
    <row r="17" spans="1:30" x14ac:dyDescent="0.2">
      <c r="A17" t="s">
        <v>54</v>
      </c>
      <c r="B17" t="s">
        <v>69</v>
      </c>
      <c r="C17">
        <v>32.9</v>
      </c>
      <c r="D17">
        <v>1</v>
      </c>
      <c r="E17">
        <f>Models!O$90</f>
        <v>1</v>
      </c>
      <c r="F17" s="4">
        <v>1</v>
      </c>
      <c r="G17">
        <v>0.02</v>
      </c>
      <c r="H17">
        <v>38</v>
      </c>
      <c r="I17">
        <f t="shared" si="0"/>
        <v>2.7699907676211042E-7</v>
      </c>
      <c r="J17">
        <v>226</v>
      </c>
      <c r="K17">
        <f t="shared" si="1"/>
        <v>6.2601791348236959E-5</v>
      </c>
      <c r="L17">
        <f t="shared" si="2"/>
        <v>3.6968940915707853E-4</v>
      </c>
      <c r="M17" s="1">
        <f t="shared" si="3"/>
        <v>7.9044013383413815E-15</v>
      </c>
      <c r="N17" s="1">
        <f t="shared" si="4"/>
        <v>1.3247705908631923E-2</v>
      </c>
      <c r="R17" t="s">
        <v>56</v>
      </c>
      <c r="S17" t="s">
        <v>75</v>
      </c>
      <c r="T17" s="1">
        <v>4.9088627477970606E-5</v>
      </c>
      <c r="U17">
        <v>0.1</v>
      </c>
      <c r="V17" s="1">
        <f>T17*U17</f>
        <v>4.9088627477970607E-6</v>
      </c>
      <c r="AD17"/>
    </row>
    <row r="18" spans="1:30" x14ac:dyDescent="0.2">
      <c r="A18" t="s">
        <v>54</v>
      </c>
      <c r="B18" t="s">
        <v>70</v>
      </c>
      <c r="C18">
        <v>2.5</v>
      </c>
      <c r="D18">
        <v>1</v>
      </c>
      <c r="E18">
        <f>Models!O$90</f>
        <v>1</v>
      </c>
      <c r="F18" s="4">
        <v>1</v>
      </c>
      <c r="G18">
        <v>0.2</v>
      </c>
      <c r="H18">
        <v>371</v>
      </c>
      <c r="I18">
        <f t="shared" si="0"/>
        <v>2.8964366952809663E-7</v>
      </c>
      <c r="J18">
        <v>14149</v>
      </c>
      <c r="K18">
        <f t="shared" si="1"/>
        <v>4.0981682801530389E-3</v>
      </c>
      <c r="L18">
        <f t="shared" si="2"/>
        <v>2.9365473577200476E-5</v>
      </c>
      <c r="M18" s="1">
        <f t="shared" si="3"/>
        <v>5.6543643337866421E-13</v>
      </c>
      <c r="N18" s="1">
        <f t="shared" si="4"/>
        <v>0.94766640239931277</v>
      </c>
      <c r="R18" t="s">
        <v>53</v>
      </c>
      <c r="S18" t="s">
        <v>68</v>
      </c>
      <c r="T18" s="1">
        <v>4.2803870858086566E-6</v>
      </c>
      <c r="U18">
        <v>1</v>
      </c>
      <c r="V18" s="1">
        <f>T18*U18</f>
        <v>4.2803870858086566E-6</v>
      </c>
      <c r="AD18"/>
    </row>
    <row r="19" spans="1:30" x14ac:dyDescent="0.2">
      <c r="A19" t="s">
        <v>54</v>
      </c>
      <c r="B19" t="s">
        <v>71</v>
      </c>
      <c r="C19">
        <v>1000</v>
      </c>
      <c r="D19">
        <v>1</v>
      </c>
      <c r="E19">
        <f>Models!O$90</f>
        <v>1</v>
      </c>
      <c r="F19" s="4">
        <v>1</v>
      </c>
      <c r="G19">
        <v>0.27</v>
      </c>
      <c r="H19">
        <v>545</v>
      </c>
      <c r="I19">
        <f t="shared" si="0"/>
        <v>2.4394649362248615E-7</v>
      </c>
      <c r="J19">
        <v>33317</v>
      </c>
      <c r="K19">
        <f t="shared" si="1"/>
        <v>8.1275653280203711E-3</v>
      </c>
      <c r="L19">
        <f t="shared" si="2"/>
        <v>2.1109107119840773E-5</v>
      </c>
      <c r="M19" s="1">
        <f t="shared" si="3"/>
        <v>3.6215976234086679E-18</v>
      </c>
      <c r="N19" s="1">
        <f t="shared" si="4"/>
        <v>6.0697652080993348E-6</v>
      </c>
      <c r="R19" t="s">
        <v>53</v>
      </c>
      <c r="S19" t="s">
        <v>75</v>
      </c>
      <c r="T19" s="1">
        <v>3.0574158113824838E-5</v>
      </c>
      <c r="U19">
        <v>0.1</v>
      </c>
      <c r="V19" s="1">
        <f>T19*U19</f>
        <v>3.0574158113824841E-6</v>
      </c>
      <c r="AD19"/>
    </row>
    <row r="20" spans="1:30" x14ac:dyDescent="0.2">
      <c r="A20" t="s">
        <v>55</v>
      </c>
      <c r="B20" t="s">
        <v>72</v>
      </c>
      <c r="C20">
        <v>0.9</v>
      </c>
      <c r="D20" t="s">
        <v>104</v>
      </c>
      <c r="E20">
        <f>Models!O92</f>
        <v>1</v>
      </c>
      <c r="F20" s="4">
        <v>1</v>
      </c>
      <c r="G20">
        <v>0.27</v>
      </c>
      <c r="H20">
        <v>313</v>
      </c>
      <c r="I20">
        <f t="shared" si="0"/>
        <v>7.3960341810387926E-7</v>
      </c>
      <c r="J20">
        <v>1241</v>
      </c>
      <c r="K20">
        <f t="shared" si="1"/>
        <v>9.1784784186691414E-4</v>
      </c>
      <c r="L20">
        <f t="shared" si="2"/>
        <v>2.1109107119840773E-5</v>
      </c>
      <c r="M20" s="1">
        <f t="shared" si="3"/>
        <v>5.0492328580966804E-13</v>
      </c>
      <c r="N20" s="1">
        <f t="shared" si="4"/>
        <v>0.84624690859006724</v>
      </c>
      <c r="R20" t="s">
        <v>56</v>
      </c>
      <c r="S20" t="s">
        <v>76</v>
      </c>
      <c r="T20" s="1">
        <v>3.0055089037447627E-6</v>
      </c>
      <c r="U20">
        <v>1</v>
      </c>
      <c r="V20" s="1">
        <f>T20*U20</f>
        <v>3.0055089037447627E-6</v>
      </c>
      <c r="AD20"/>
    </row>
    <row r="21" spans="1:30" x14ac:dyDescent="0.2">
      <c r="A21" t="s">
        <v>55</v>
      </c>
      <c r="B21" t="s">
        <v>73</v>
      </c>
      <c r="C21">
        <v>0.6</v>
      </c>
      <c r="D21" t="s">
        <v>104</v>
      </c>
      <c r="E21">
        <v>1</v>
      </c>
      <c r="F21" s="4">
        <v>1</v>
      </c>
      <c r="G21">
        <v>0.43</v>
      </c>
      <c r="H21">
        <v>524</v>
      </c>
      <c r="I21">
        <f t="shared" si="0"/>
        <v>6.6308963875294945E-7</v>
      </c>
      <c r="J21">
        <v>2650</v>
      </c>
      <c r="K21">
        <f t="shared" si="1"/>
        <v>1.7571875426953161E-3</v>
      </c>
      <c r="L21">
        <f t="shared" si="2"/>
        <v>1.26518694866225E-5</v>
      </c>
      <c r="M21" s="1">
        <f t="shared" si="3"/>
        <v>7.813129476916266E-13</v>
      </c>
      <c r="N21" s="1">
        <f t="shared" si="4"/>
        <v>1.3094735085651539</v>
      </c>
      <c r="R21" t="s">
        <v>93</v>
      </c>
      <c r="S21" t="s">
        <v>105</v>
      </c>
      <c r="T21" s="1">
        <v>1.7222560786570292E-4</v>
      </c>
      <c r="U21">
        <v>0.01</v>
      </c>
      <c r="V21" s="1">
        <f>T21*U21</f>
        <v>1.7222560786570292E-6</v>
      </c>
      <c r="AD21"/>
    </row>
    <row r="22" spans="1:30" x14ac:dyDescent="0.2">
      <c r="A22" t="s">
        <v>56</v>
      </c>
      <c r="B22" t="s">
        <v>75</v>
      </c>
      <c r="C22">
        <v>3.8</v>
      </c>
      <c r="D22" t="s">
        <v>104</v>
      </c>
      <c r="E22">
        <f>Models!O89</f>
        <v>0.02</v>
      </c>
      <c r="F22" s="4">
        <v>4.0000000000000001E-3</v>
      </c>
      <c r="G22">
        <v>0.06</v>
      </c>
      <c r="H22">
        <v>212</v>
      </c>
      <c r="I22">
        <f t="shared" si="0"/>
        <v>8.0075652580803243E-8</v>
      </c>
      <c r="J22">
        <v>5416</v>
      </c>
      <c r="K22">
        <f t="shared" si="1"/>
        <v>4.3368973437763034E-4</v>
      </c>
      <c r="L22">
        <f t="shared" si="2"/>
        <v>1.1040878454927252E-4</v>
      </c>
      <c r="M22" s="1">
        <f t="shared" si="3"/>
        <v>2.9289313592128377E-17</v>
      </c>
      <c r="N22" s="1">
        <f t="shared" si="4"/>
        <v>4.9088627477970606E-5</v>
      </c>
      <c r="R22" t="s">
        <v>51</v>
      </c>
      <c r="S22" t="s">
        <v>88</v>
      </c>
      <c r="T22" s="1">
        <v>1.4847889739604859E-5</v>
      </c>
      <c r="U22">
        <v>0.1</v>
      </c>
      <c r="V22" s="1">
        <f>T22*U22</f>
        <v>1.4847889739604859E-6</v>
      </c>
      <c r="AD22"/>
    </row>
    <row r="23" spans="1:30" x14ac:dyDescent="0.2">
      <c r="A23" t="s">
        <v>56</v>
      </c>
      <c r="B23" t="s">
        <v>76</v>
      </c>
      <c r="C23">
        <v>5.6</v>
      </c>
      <c r="D23">
        <v>1</v>
      </c>
      <c r="E23">
        <f>Models!O89</f>
        <v>0.02</v>
      </c>
      <c r="F23" s="4">
        <v>4.0000000000000001E-3</v>
      </c>
      <c r="G23">
        <v>0.08</v>
      </c>
      <c r="H23">
        <v>245</v>
      </c>
      <c r="I23">
        <f t="shared" si="0"/>
        <v>1.0656538766782378E-7</v>
      </c>
      <c r="J23">
        <v>1019</v>
      </c>
      <c r="K23">
        <f t="shared" si="1"/>
        <v>1.0859013003351243E-4</v>
      </c>
      <c r="L23">
        <f t="shared" si="2"/>
        <v>8.0458330846576529E-5</v>
      </c>
      <c r="M23" s="1">
        <f t="shared" si="3"/>
        <v>1.7932726439585023E-18</v>
      </c>
      <c r="N23" s="1">
        <f t="shared" si="4"/>
        <v>3.0055089037447627E-6</v>
      </c>
      <c r="R23" t="s">
        <v>53</v>
      </c>
      <c r="S23" t="s">
        <v>91</v>
      </c>
      <c r="T23" s="1">
        <v>4.4073829896781995E-5</v>
      </c>
      <c r="U23">
        <v>0.01</v>
      </c>
      <c r="V23" s="1">
        <f>T23*U23</f>
        <v>4.4073829896781993E-7</v>
      </c>
      <c r="AD23"/>
    </row>
    <row r="24" spans="1:30" x14ac:dyDescent="0.2">
      <c r="A24" t="s">
        <v>57</v>
      </c>
      <c r="B24" t="s">
        <v>72</v>
      </c>
      <c r="C24">
        <v>0.9</v>
      </c>
      <c r="D24" t="s">
        <v>104</v>
      </c>
      <c r="E24">
        <f>Models!O93</f>
        <v>1</v>
      </c>
      <c r="F24" s="4">
        <v>1</v>
      </c>
      <c r="G24">
        <v>0.27</v>
      </c>
      <c r="H24">
        <v>296</v>
      </c>
      <c r="I24">
        <f t="shared" si="0"/>
        <v>8.2699743503719586E-7</v>
      </c>
      <c r="J24">
        <v>330</v>
      </c>
      <c r="K24">
        <f t="shared" si="1"/>
        <v>2.7290915356227466E-4</v>
      </c>
      <c r="L24">
        <f t="shared" si="2"/>
        <v>2.1109107119840773E-5</v>
      </c>
      <c r="M24" s="1">
        <f t="shared" si="3"/>
        <v>1.5013184131251617E-13</v>
      </c>
      <c r="N24" s="1">
        <f t="shared" si="4"/>
        <v>0.25161962254904324</v>
      </c>
      <c r="R24" t="s">
        <v>58</v>
      </c>
      <c r="S24" t="s">
        <v>79</v>
      </c>
      <c r="T24" s="1">
        <v>2.5194962346596922E-5</v>
      </c>
      <c r="U24">
        <v>0.01</v>
      </c>
      <c r="V24" s="1">
        <f>T24*U24</f>
        <v>2.5194962346596922E-7</v>
      </c>
      <c r="AD24"/>
    </row>
    <row r="25" spans="1:30" x14ac:dyDescent="0.2">
      <c r="A25" t="s">
        <v>57</v>
      </c>
      <c r="B25" t="s">
        <v>73</v>
      </c>
      <c r="C25">
        <v>0.6</v>
      </c>
      <c r="D25" t="s">
        <v>104</v>
      </c>
      <c r="E25">
        <f>Models!O93</f>
        <v>1</v>
      </c>
      <c r="F25" s="4">
        <v>1</v>
      </c>
      <c r="G25">
        <v>0.43</v>
      </c>
      <c r="H25">
        <v>477</v>
      </c>
      <c r="I25">
        <f t="shared" si="0"/>
        <v>8.0019909835770317E-7</v>
      </c>
      <c r="J25">
        <v>3758</v>
      </c>
      <c r="K25">
        <f t="shared" si="1"/>
        <v>3.0071482116282486E-3</v>
      </c>
      <c r="L25">
        <f t="shared" si="2"/>
        <v>1.26518694866225E-5</v>
      </c>
      <c r="M25" s="1">
        <f t="shared" si="3"/>
        <v>1.3370933814890247E-12</v>
      </c>
      <c r="N25" s="1">
        <f t="shared" si="4"/>
        <v>2.2409565420752893</v>
      </c>
      <c r="R25" t="s">
        <v>53</v>
      </c>
      <c r="S25" t="s">
        <v>92</v>
      </c>
      <c r="T25" s="1">
        <v>2.4934168879487979E-5</v>
      </c>
      <c r="U25">
        <v>0.01</v>
      </c>
      <c r="V25" s="1">
        <f>T25*U25</f>
        <v>2.4934168879487977E-7</v>
      </c>
      <c r="AD25"/>
    </row>
    <row r="26" spans="1:30" x14ac:dyDescent="0.2">
      <c r="A26" t="s">
        <v>57</v>
      </c>
      <c r="B26" t="s">
        <v>77</v>
      </c>
      <c r="C26">
        <v>4.5</v>
      </c>
      <c r="D26">
        <v>1</v>
      </c>
      <c r="E26">
        <f>Models!O93</f>
        <v>1</v>
      </c>
      <c r="F26" s="4">
        <v>1</v>
      </c>
      <c r="G26">
        <v>5.7000000000000002E-2</v>
      </c>
      <c r="H26">
        <v>51</v>
      </c>
      <c r="I26">
        <f t="shared" si="0"/>
        <v>1.2487967814349915E-6</v>
      </c>
      <c r="J26">
        <v>709</v>
      </c>
      <c r="K26">
        <f t="shared" si="1"/>
        <v>8.85396918037409E-4</v>
      </c>
      <c r="L26">
        <f t="shared" si="2"/>
        <v>1.1681743420354348E-4</v>
      </c>
      <c r="M26" s="1">
        <f t="shared" si="3"/>
        <v>5.9666189699992072E-13</v>
      </c>
      <c r="N26" s="1">
        <f t="shared" si="4"/>
        <v>1</v>
      </c>
      <c r="R26" t="s">
        <v>51</v>
      </c>
      <c r="S26" t="s">
        <v>87</v>
      </c>
      <c r="T26" s="1">
        <v>6.2836504799290184E-5</v>
      </c>
      <c r="U26">
        <v>3.0000000000000001E-3</v>
      </c>
      <c r="V26" s="1">
        <f>T26*U26</f>
        <v>1.8850951439787056E-7</v>
      </c>
      <c r="AD26"/>
    </row>
    <row r="27" spans="1:30" x14ac:dyDescent="0.2">
      <c r="A27" t="s">
        <v>58</v>
      </c>
      <c r="B27" t="s">
        <v>79</v>
      </c>
      <c r="C27">
        <v>0.2</v>
      </c>
      <c r="D27">
        <v>0.01</v>
      </c>
      <c r="E27">
        <f>Models!O95</f>
        <v>0.03</v>
      </c>
      <c r="F27" s="5">
        <v>5.0000000000000004E-6</v>
      </c>
      <c r="G27">
        <v>0.5</v>
      </c>
      <c r="H27">
        <v>224</v>
      </c>
      <c r="I27">
        <f t="shared" si="0"/>
        <v>4.8795216083237894E-6</v>
      </c>
      <c r="J27">
        <v>7152</v>
      </c>
      <c r="K27">
        <f t="shared" si="1"/>
        <v>3.4898338542731742E-2</v>
      </c>
      <c r="L27">
        <f t="shared" si="2"/>
        <v>1.0717734625362933E-5</v>
      </c>
      <c r="M27" s="1">
        <f t="shared" si="3"/>
        <v>1.5032874028562093E-17</v>
      </c>
      <c r="N27" s="1">
        <f t="shared" si="4"/>
        <v>2.5194962346596922E-5</v>
      </c>
      <c r="R27" t="s">
        <v>59</v>
      </c>
      <c r="S27" t="s">
        <v>78</v>
      </c>
      <c r="T27" s="1">
        <v>5.3918291191361763E-9</v>
      </c>
      <c r="U27">
        <v>1</v>
      </c>
      <c r="V27" s="1">
        <f>T27*U27</f>
        <v>5.3918291191361763E-9</v>
      </c>
      <c r="AD27"/>
    </row>
    <row r="28" spans="1:30" x14ac:dyDescent="0.2">
      <c r="A28" t="s">
        <v>59</v>
      </c>
      <c r="B28" t="s">
        <v>78</v>
      </c>
      <c r="C28">
        <v>26</v>
      </c>
      <c r="D28">
        <v>1</v>
      </c>
      <c r="E28">
        <f>Models!O96</f>
        <v>0.03</v>
      </c>
      <c r="F28" s="5">
        <v>5.0000000000000004E-6</v>
      </c>
      <c r="G28">
        <v>2.5000000000000001E-2</v>
      </c>
      <c r="H28">
        <v>142</v>
      </c>
      <c r="I28">
        <f t="shared" si="0"/>
        <v>3.0994219827154771E-8</v>
      </c>
      <c r="J28">
        <v>5592</v>
      </c>
      <c r="K28">
        <f t="shared" si="1"/>
        <v>1.7331967727344949E-4</v>
      </c>
      <c r="L28">
        <f t="shared" si="2"/>
        <v>2.8922510991838505E-4</v>
      </c>
      <c r="M28" s="1">
        <f t="shared" si="3"/>
        <v>3.2170989905232025E-21</v>
      </c>
      <c r="N28" s="1">
        <f t="shared" si="4"/>
        <v>5.3918291191361763E-9</v>
      </c>
      <c r="R28" t="s">
        <v>59</v>
      </c>
      <c r="S28" t="s">
        <v>80</v>
      </c>
      <c r="T28" s="1">
        <v>1.4730115497900186E-10</v>
      </c>
      <c r="U28">
        <v>1</v>
      </c>
      <c r="V28" s="1">
        <f>T28*U28</f>
        <v>1.4730115497900186E-10</v>
      </c>
      <c r="AD28"/>
    </row>
    <row r="29" spans="1:30" x14ac:dyDescent="0.2">
      <c r="A29" t="s">
        <v>59</v>
      </c>
      <c r="B29" t="s">
        <v>80</v>
      </c>
      <c r="C29">
        <v>14</v>
      </c>
      <c r="D29">
        <v>1</v>
      </c>
      <c r="E29">
        <f>Models!O96</f>
        <v>0.03</v>
      </c>
      <c r="F29" s="5">
        <v>5.0000000000000004E-6</v>
      </c>
      <c r="G29">
        <v>0.08</v>
      </c>
      <c r="H29">
        <v>551</v>
      </c>
      <c r="I29">
        <f t="shared" si="0"/>
        <v>2.1069059043814487E-8</v>
      </c>
      <c r="J29">
        <v>842</v>
      </c>
      <c r="K29">
        <f t="shared" si="1"/>
        <v>1.7740147714891798E-5</v>
      </c>
      <c r="L29">
        <f t="shared" si="2"/>
        <v>8.0458330846576529E-5</v>
      </c>
      <c r="M29" s="1">
        <f t="shared" si="3"/>
        <v>8.7888986560050566E-23</v>
      </c>
      <c r="N29" s="1">
        <f t="shared" si="4"/>
        <v>1.4730115497900186E-10</v>
      </c>
      <c r="R29" t="s">
        <v>7</v>
      </c>
      <c r="S29" t="s">
        <v>81</v>
      </c>
      <c r="T29" s="1">
        <v>2.9087761239837971E-11</v>
      </c>
      <c r="U29">
        <v>1</v>
      </c>
      <c r="V29" s="1">
        <f>T29*U29</f>
        <v>2.9087761239837971E-11</v>
      </c>
      <c r="AD29"/>
    </row>
    <row r="30" spans="1:30" x14ac:dyDescent="0.2">
      <c r="A30" t="s">
        <v>90</v>
      </c>
      <c r="C30">
        <v>1</v>
      </c>
      <c r="E30">
        <v>1</v>
      </c>
      <c r="F30" s="4">
        <v>1</v>
      </c>
      <c r="G30">
        <v>0.05</v>
      </c>
      <c r="I30" t="e">
        <f t="shared" si="0"/>
        <v>#DIV/0!</v>
      </c>
      <c r="K30">
        <v>1E-3</v>
      </c>
      <c r="L30">
        <f t="shared" si="2"/>
        <v>1.3492828476735638E-4</v>
      </c>
      <c r="M30" s="1">
        <f t="shared" si="3"/>
        <v>1.8205642030260815E-11</v>
      </c>
      <c r="N30" s="1">
        <f t="shared" si="4"/>
        <v>30.512493125169737</v>
      </c>
      <c r="R30" t="s">
        <v>42</v>
      </c>
      <c r="S30" t="s">
        <v>82</v>
      </c>
      <c r="T30" s="1">
        <v>1.7784485099697045E-11</v>
      </c>
      <c r="U30">
        <v>1</v>
      </c>
      <c r="V30" s="1">
        <f>T30*U30</f>
        <v>1.7784485099697045E-11</v>
      </c>
      <c r="AD30"/>
    </row>
    <row r="31" spans="1:30" x14ac:dyDescent="0.2">
      <c r="A31" t="s">
        <v>53</v>
      </c>
      <c r="B31" t="s">
        <v>91</v>
      </c>
      <c r="C31">
        <v>7.2</v>
      </c>
      <c r="D31" t="s">
        <v>102</v>
      </c>
      <c r="E31">
        <f>Models!O89</f>
        <v>0.02</v>
      </c>
      <c r="F31" s="1">
        <v>4.0000000000000001E-3</v>
      </c>
      <c r="G31">
        <v>0.08</v>
      </c>
      <c r="H31">
        <v>270</v>
      </c>
      <c r="I31">
        <f t="shared" ref="I31:I34" si="5">(6.28*(1-COS(G31)))/(3.14*H31^2)</f>
        <v>8.7744683055708124E-8</v>
      </c>
      <c r="J31">
        <v>30000</v>
      </c>
      <c r="K31">
        <f t="shared" si="1"/>
        <v>2.6323404916712436E-3</v>
      </c>
      <c r="L31">
        <f t="shared" si="2"/>
        <v>8.0458330846576529E-5</v>
      </c>
      <c r="M31" s="1">
        <f t="shared" si="3"/>
        <v>2.6297174954265765E-17</v>
      </c>
      <c r="N31" s="1">
        <f t="shared" si="4"/>
        <v>4.4073829896781995E-5</v>
      </c>
      <c r="R31" t="s">
        <v>49</v>
      </c>
      <c r="S31" t="s">
        <v>84</v>
      </c>
      <c r="T31" s="1">
        <v>1.6107346056088483E-11</v>
      </c>
      <c r="U31">
        <v>1</v>
      </c>
      <c r="V31" s="1">
        <f>T31*U31</f>
        <v>1.6107346056088483E-11</v>
      </c>
      <c r="AD31"/>
    </row>
    <row r="32" spans="1:30" x14ac:dyDescent="0.2">
      <c r="A32" t="s">
        <v>53</v>
      </c>
      <c r="B32" t="s">
        <v>92</v>
      </c>
      <c r="C32">
        <v>7</v>
      </c>
      <c r="D32" t="s">
        <v>102</v>
      </c>
      <c r="E32">
        <f>Models!O89</f>
        <v>0.02</v>
      </c>
      <c r="F32" s="1">
        <v>4.0000000000000001E-3</v>
      </c>
      <c r="G32">
        <v>2.5000000000000001E-2</v>
      </c>
      <c r="H32">
        <v>82</v>
      </c>
      <c r="I32">
        <f t="shared" si="5"/>
        <v>9.2945783550676498E-8</v>
      </c>
      <c r="J32">
        <v>1172</v>
      </c>
      <c r="K32">
        <f t="shared" si="1"/>
        <v>1.0893245832139286E-4</v>
      </c>
      <c r="L32">
        <f t="shared" si="2"/>
        <v>2.8922510991838505E-4</v>
      </c>
      <c r="M32" s="1">
        <f t="shared" si="3"/>
        <v>1.4877268503751685E-17</v>
      </c>
      <c r="N32" s="1">
        <f t="shared" si="4"/>
        <v>2.4934168879487979E-5</v>
      </c>
      <c r="R32" t="s">
        <v>41</v>
      </c>
      <c r="S32" t="s">
        <v>81</v>
      </c>
      <c r="T32" s="1">
        <v>9.5333533334395552E-12</v>
      </c>
      <c r="U32">
        <v>1</v>
      </c>
      <c r="V32" s="1">
        <f>T32*U32</f>
        <v>9.5333533334395552E-12</v>
      </c>
      <c r="AD32"/>
    </row>
    <row r="33" spans="1:30" x14ac:dyDescent="0.2">
      <c r="A33" t="s">
        <v>93</v>
      </c>
      <c r="B33" t="s">
        <v>94</v>
      </c>
      <c r="C33">
        <v>2.7</v>
      </c>
      <c r="D33" t="s">
        <v>102</v>
      </c>
      <c r="E33">
        <f>Models!O95</f>
        <v>0.03</v>
      </c>
      <c r="F33" s="1">
        <v>4.0000000000000001E-3</v>
      </c>
      <c r="G33">
        <v>0.1</v>
      </c>
      <c r="H33">
        <v>203</v>
      </c>
      <c r="I33">
        <f t="shared" si="5"/>
        <v>2.4246328335917782E-7</v>
      </c>
      <c r="J33">
        <v>30000</v>
      </c>
      <c r="K33">
        <f t="shared" si="1"/>
        <v>7.2738985007753344E-3</v>
      </c>
      <c r="L33">
        <f t="shared" si="2"/>
        <v>6.2946270589708372E-5</v>
      </c>
      <c r="M33" s="1">
        <f t="shared" si="3"/>
        <v>4.744177866885568E-16</v>
      </c>
      <c r="N33" s="1">
        <f t="shared" si="4"/>
        <v>7.9511996504884883E-4</v>
      </c>
      <c r="R33" t="s">
        <v>49</v>
      </c>
      <c r="S33" t="s">
        <v>83</v>
      </c>
      <c r="T33" s="1">
        <v>2.7132650424448986E-11</v>
      </c>
      <c r="U33">
        <v>0.01</v>
      </c>
      <c r="V33" s="1">
        <f>T33*U33</f>
        <v>2.7132650424448987E-13</v>
      </c>
      <c r="AD33"/>
    </row>
    <row r="34" spans="1:30" x14ac:dyDescent="0.2">
      <c r="A34" t="s">
        <v>93</v>
      </c>
      <c r="B34" t="s">
        <v>105</v>
      </c>
      <c r="C34">
        <v>3.6</v>
      </c>
      <c r="D34" t="s">
        <v>102</v>
      </c>
      <c r="E34">
        <v>0.03</v>
      </c>
      <c r="F34" s="1">
        <v>4.0000000000000001E-3</v>
      </c>
      <c r="G34">
        <v>0.05</v>
      </c>
      <c r="H34">
        <v>63</v>
      </c>
      <c r="I34">
        <f t="shared" si="5"/>
        <v>6.2975036786783443E-7</v>
      </c>
      <c r="J34">
        <v>968</v>
      </c>
      <c r="K34">
        <f t="shared" si="1"/>
        <v>6.095983560960637E-4</v>
      </c>
      <c r="L34">
        <f t="shared" si="2"/>
        <v>1.3492828476735638E-4</v>
      </c>
      <c r="M34" s="1">
        <f t="shared" si="3"/>
        <v>1.0276045790111478E-16</v>
      </c>
      <c r="N34" s="1">
        <f t="shared" si="4"/>
        <v>1.7222560786570292E-4</v>
      </c>
      <c r="AD34"/>
    </row>
    <row r="35" spans="1:30" x14ac:dyDescent="0.2">
      <c r="M35" s="1"/>
      <c r="N35" s="1"/>
      <c r="AD35"/>
    </row>
    <row r="36" spans="1:30" x14ac:dyDescent="0.2">
      <c r="A36" t="s">
        <v>127</v>
      </c>
      <c r="B36" t="s">
        <v>128</v>
      </c>
      <c r="C36">
        <v>22</v>
      </c>
      <c r="D36">
        <v>1</v>
      </c>
      <c r="E36">
        <v>0.02</v>
      </c>
      <c r="F36" s="1">
        <v>4.0000000000000001E-3</v>
      </c>
      <c r="G36">
        <v>0.01</v>
      </c>
      <c r="K36" s="1">
        <v>2.9999999999999997E-4</v>
      </c>
      <c r="L36">
        <f t="shared" si="2"/>
        <v>7.9244659623055704E-4</v>
      </c>
      <c r="M36" s="1">
        <f t="shared" si="3"/>
        <v>3.1139087993920428E-17</v>
      </c>
      <c r="N36" s="1">
        <f t="shared" si="4"/>
        <v>5.2188832822224889E-5</v>
      </c>
      <c r="AD36"/>
    </row>
    <row r="37" spans="1:30" x14ac:dyDescent="0.2">
      <c r="M37" s="1"/>
      <c r="N37" s="1"/>
    </row>
    <row r="38" spans="1:30" x14ac:dyDescent="0.2">
      <c r="M38" s="1"/>
      <c r="N38" s="1"/>
    </row>
    <row r="42" spans="1:30" x14ac:dyDescent="0.2">
      <c r="A42" t="s">
        <v>125</v>
      </c>
    </row>
  </sheetData>
  <sortState ref="R3:V33">
    <sortCondition descending="1" ref="V3:V33"/>
  </sortState>
  <phoneticPr fontId="6" type="noConversion"/>
  <pageMargins left="0.7" right="0.7" top="0.75" bottom="0.75" header="0.3" footer="0.3"/>
  <pageSetup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0"/>
  <sheetViews>
    <sheetView topLeftCell="O1" workbookViewId="0">
      <selection activeCell="R3" sqref="R3"/>
    </sheetView>
  </sheetViews>
  <sheetFormatPr baseColWidth="10" defaultRowHeight="16" x14ac:dyDescent="0.2"/>
  <cols>
    <col min="2" max="4" width="20.1640625" customWidth="1"/>
    <col min="6" max="6" width="18.5" customWidth="1"/>
    <col min="8" max="8" width="17.1640625" customWidth="1"/>
    <col min="9" max="9" width="11.83203125" bestFit="1" customWidth="1"/>
    <col min="10" max="11" width="11.83203125" customWidth="1"/>
    <col min="18" max="18" width="34.83203125" customWidth="1"/>
    <col min="19" max="19" width="51.6640625" customWidth="1"/>
    <col min="20" max="20" width="12.1640625" customWidth="1"/>
    <col min="24" max="24" width="21.6640625" customWidth="1"/>
    <col min="28" max="28" width="32.6640625" customWidth="1"/>
    <col min="29" max="29" width="52.83203125" customWidth="1"/>
    <col min="30" max="30" width="10.83203125" style="1"/>
    <col min="31" max="31" width="11.33203125" customWidth="1"/>
    <col min="34" max="34" width="32.83203125" customWidth="1"/>
    <col min="35" max="35" width="51" customWidth="1"/>
  </cols>
  <sheetData>
    <row r="1" spans="1:30" s="6" customFormat="1" ht="72" customHeight="1" x14ac:dyDescent="0.2">
      <c r="A1" s="6" t="s">
        <v>121</v>
      </c>
      <c r="B1" s="6" t="s">
        <v>122</v>
      </c>
      <c r="C1" s="6" t="s">
        <v>130</v>
      </c>
      <c r="D1" s="6" t="s">
        <v>101</v>
      </c>
      <c r="E1" s="6" t="s">
        <v>99</v>
      </c>
      <c r="F1" s="6" t="s">
        <v>95</v>
      </c>
      <c r="G1" s="6" t="s">
        <v>123</v>
      </c>
      <c r="H1" s="6" t="s">
        <v>124</v>
      </c>
      <c r="I1" s="6" t="s">
        <v>96</v>
      </c>
      <c r="J1" s="6" t="s">
        <v>64</v>
      </c>
      <c r="K1" s="6" t="s">
        <v>65</v>
      </c>
      <c r="L1" s="6" t="s">
        <v>63</v>
      </c>
      <c r="M1" s="6" t="s">
        <v>98</v>
      </c>
      <c r="N1" s="6" t="s">
        <v>89</v>
      </c>
      <c r="O1" s="6" t="s">
        <v>97</v>
      </c>
      <c r="Q1" s="11" t="s">
        <v>134</v>
      </c>
      <c r="R1" s="6" t="s">
        <v>121</v>
      </c>
      <c r="S1" s="6" t="s">
        <v>122</v>
      </c>
      <c r="T1" s="10" t="s">
        <v>126</v>
      </c>
      <c r="U1" s="6" t="s">
        <v>129</v>
      </c>
      <c r="V1" s="6" t="s">
        <v>131</v>
      </c>
    </row>
    <row r="2" spans="1:30" x14ac:dyDescent="0.2">
      <c r="R2" s="3" t="s">
        <v>135</v>
      </c>
      <c r="T2" s="1"/>
      <c r="AD2"/>
    </row>
    <row r="3" spans="1:30" x14ac:dyDescent="0.2">
      <c r="A3" t="s">
        <v>41</v>
      </c>
      <c r="B3" t="s">
        <v>81</v>
      </c>
      <c r="C3">
        <v>25.8</v>
      </c>
      <c r="D3">
        <v>1</v>
      </c>
      <c r="E3" s="1">
        <f>Models!O85</f>
        <v>7.9999999999999996E-7</v>
      </c>
      <c r="F3" s="4">
        <v>4.0000000000000001E-3</v>
      </c>
      <c r="G3">
        <v>0.03</v>
      </c>
      <c r="H3">
        <v>453</v>
      </c>
      <c r="I3">
        <f>(6.28*(1-COS(G3)))/(3.14*H3^2)</f>
        <v>4.3854436307613887E-9</v>
      </c>
      <c r="J3">
        <v>4817</v>
      </c>
      <c r="K3">
        <f>J3*I3</f>
        <v>2.1124681969377609E-5</v>
      </c>
      <c r="L3">
        <v>1</v>
      </c>
      <c r="M3" s="1">
        <f>L3^2*E3*F3*K3/C3^2</f>
        <v>1.0155486794965501E-16</v>
      </c>
      <c r="N3" s="1">
        <f>M3/M$25</f>
        <v>2.3226713738048333E-12</v>
      </c>
      <c r="R3" t="s">
        <v>54</v>
      </c>
      <c r="S3" t="s">
        <v>74</v>
      </c>
      <c r="T3" s="1">
        <v>264.70644264757044</v>
      </c>
      <c r="U3">
        <v>0.1</v>
      </c>
      <c r="V3" s="1">
        <f>T3*U3</f>
        <v>26.470644264757045</v>
      </c>
      <c r="AD3"/>
    </row>
    <row r="4" spans="1:30" x14ac:dyDescent="0.2">
      <c r="A4" t="s">
        <v>42</v>
      </c>
      <c r="B4" t="s">
        <v>82</v>
      </c>
      <c r="C4">
        <v>14</v>
      </c>
      <c r="D4">
        <v>1</v>
      </c>
      <c r="E4" s="1">
        <f>Models!O85</f>
        <v>7.9999999999999996E-7</v>
      </c>
      <c r="F4" s="4">
        <v>4.0000000000000001E-3</v>
      </c>
      <c r="G4">
        <v>0.06</v>
      </c>
      <c r="H4">
        <v>450</v>
      </c>
      <c r="I4">
        <f t="shared" ref="I4:I32" si="0">(6.28*(1-COS(G4)))/(3.14*H4^2)</f>
        <v>1.7772445084403066E-8</v>
      </c>
      <c r="J4">
        <v>3000</v>
      </c>
      <c r="K4">
        <f t="shared" ref="K4:K32" si="1">J4*I4</f>
        <v>5.3317335253209198E-5</v>
      </c>
      <c r="L4">
        <v>1</v>
      </c>
      <c r="M4" s="1">
        <f t="shared" ref="M4:M34" si="2">L4^2*E4*F4*K4/C4^2</f>
        <v>8.7048710617484414E-16</v>
      </c>
      <c r="N4" s="1">
        <f>M4/M$25</f>
        <v>1.990899622636344E-11</v>
      </c>
      <c r="R4" t="s">
        <v>57</v>
      </c>
      <c r="S4" t="s">
        <v>73</v>
      </c>
      <c r="T4" s="1">
        <v>191.04661814165263</v>
      </c>
      <c r="U4">
        <v>0.1</v>
      </c>
      <c r="V4" s="1">
        <f>T4*U4</f>
        <v>19.104661814165265</v>
      </c>
      <c r="AD4"/>
    </row>
    <row r="5" spans="1:30" x14ac:dyDescent="0.2">
      <c r="A5" t="s">
        <v>7</v>
      </c>
      <c r="B5" t="s">
        <v>81</v>
      </c>
      <c r="C5">
        <v>26</v>
      </c>
      <c r="D5">
        <v>1</v>
      </c>
      <c r="E5" s="1">
        <f>Models!O85</f>
        <v>7.9999999999999996E-7</v>
      </c>
      <c r="F5" s="4">
        <v>4.0000000000000001E-3</v>
      </c>
      <c r="G5">
        <v>0.03</v>
      </c>
      <c r="H5">
        <v>330</v>
      </c>
      <c r="I5">
        <f t="shared" si="0"/>
        <v>8.263842993800862E-9</v>
      </c>
      <c r="J5">
        <v>7921</v>
      </c>
      <c r="K5">
        <f t="shared" si="1"/>
        <v>6.5457900353896629E-5</v>
      </c>
      <c r="L5">
        <v>1</v>
      </c>
      <c r="M5" s="1">
        <f t="shared" si="2"/>
        <v>3.0985988333205503E-16</v>
      </c>
      <c r="N5" s="1">
        <f>M5/M$25</f>
        <v>7.0868358694795038E-12</v>
      </c>
      <c r="R5" t="s">
        <v>54</v>
      </c>
      <c r="S5" t="s">
        <v>70</v>
      </c>
      <c r="T5" s="1">
        <v>14.996737572938823</v>
      </c>
      <c r="U5">
        <v>1</v>
      </c>
      <c r="V5" s="1">
        <f>T5*U5</f>
        <v>14.996737572938823</v>
      </c>
      <c r="AD5"/>
    </row>
    <row r="6" spans="1:30" x14ac:dyDescent="0.2">
      <c r="A6" t="s">
        <v>49</v>
      </c>
      <c r="B6" t="s">
        <v>83</v>
      </c>
      <c r="C6">
        <v>19.8</v>
      </c>
      <c r="D6" t="s">
        <v>102</v>
      </c>
      <c r="E6" s="1">
        <f>Models!O85</f>
        <v>7.9999999999999996E-7</v>
      </c>
      <c r="F6" s="4">
        <v>4.0000000000000001E-3</v>
      </c>
      <c r="G6">
        <v>0.02</v>
      </c>
      <c r="H6">
        <v>105</v>
      </c>
      <c r="I6">
        <f t="shared" si="0"/>
        <v>3.6279969781812917E-8</v>
      </c>
      <c r="J6">
        <v>400</v>
      </c>
      <c r="K6">
        <f t="shared" si="1"/>
        <v>1.4511987912725167E-5</v>
      </c>
      <c r="L6">
        <v>1</v>
      </c>
      <c r="M6" s="1">
        <f t="shared" si="2"/>
        <v>1.184531203977159E-16</v>
      </c>
      <c r="N6" s="1">
        <f>M6/M$25</f>
        <v>2.7091529676551238E-12</v>
      </c>
      <c r="R6" t="s">
        <v>55</v>
      </c>
      <c r="S6" t="s">
        <v>73</v>
      </c>
      <c r="T6" s="1">
        <v>111.63558090500985</v>
      </c>
      <c r="U6">
        <v>0.1</v>
      </c>
      <c r="V6" s="1">
        <f>T6*U6</f>
        <v>11.163558090500985</v>
      </c>
      <c r="AD6"/>
    </row>
    <row r="7" spans="1:30" x14ac:dyDescent="0.2">
      <c r="A7" t="s">
        <v>49</v>
      </c>
      <c r="B7" t="s">
        <v>84</v>
      </c>
      <c r="C7">
        <v>21.3</v>
      </c>
      <c r="D7">
        <v>1</v>
      </c>
      <c r="E7" s="1">
        <f>Models!O85</f>
        <v>7.9999999999999996E-7</v>
      </c>
      <c r="F7" s="4">
        <v>4.0000000000000001E-3</v>
      </c>
      <c r="G7">
        <v>0.05</v>
      </c>
      <c r="H7">
        <v>299</v>
      </c>
      <c r="I7">
        <f t="shared" si="0"/>
        <v>2.795806769574652E-8</v>
      </c>
      <c r="J7">
        <v>2677</v>
      </c>
      <c r="K7">
        <f t="shared" si="1"/>
        <v>7.4843747221513439E-5</v>
      </c>
      <c r="L7">
        <v>1</v>
      </c>
      <c r="M7" s="1">
        <f t="shared" si="2"/>
        <v>5.2789347596121365E-16</v>
      </c>
      <c r="N7" s="1">
        <f>M7/M$25</f>
        <v>1.2073503612266831E-11</v>
      </c>
      <c r="R7" t="s">
        <v>55</v>
      </c>
      <c r="S7" t="s">
        <v>72</v>
      </c>
      <c r="T7" s="1">
        <v>25.916281815771296</v>
      </c>
      <c r="U7">
        <v>0.1</v>
      </c>
      <c r="V7" s="1">
        <f>T7*U7</f>
        <v>2.5916281815771298</v>
      </c>
      <c r="AD7"/>
    </row>
    <row r="8" spans="1:30" x14ac:dyDescent="0.2">
      <c r="A8" t="s">
        <v>51</v>
      </c>
      <c r="B8" t="s">
        <v>85</v>
      </c>
      <c r="C8">
        <v>2</v>
      </c>
      <c r="D8">
        <v>1</v>
      </c>
      <c r="E8" s="1">
        <f>Models!O$86</f>
        <v>3.0000000000000001E-3</v>
      </c>
      <c r="F8" s="4">
        <v>4.0000000000000001E-3</v>
      </c>
      <c r="G8">
        <v>0.7</v>
      </c>
      <c r="H8">
        <v>600</v>
      </c>
      <c r="I8">
        <f t="shared" si="0"/>
        <v>1.3064322928639528E-6</v>
      </c>
      <c r="J8">
        <v>75000</v>
      </c>
      <c r="K8">
        <f t="shared" si="1"/>
        <v>9.7982421964796465E-2</v>
      </c>
      <c r="L8">
        <v>1</v>
      </c>
      <c r="M8" s="1">
        <f t="shared" si="2"/>
        <v>2.9394726589438938E-7</v>
      </c>
      <c r="N8" s="1">
        <f>M8/M$25</f>
        <v>6.7228968308989398E-3</v>
      </c>
      <c r="R8" t="s">
        <v>57</v>
      </c>
      <c r="S8" t="s">
        <v>77</v>
      </c>
      <c r="T8" s="1">
        <v>1</v>
      </c>
      <c r="U8">
        <v>1</v>
      </c>
      <c r="V8" s="1">
        <f>T8*U8</f>
        <v>1</v>
      </c>
      <c r="AD8"/>
    </row>
    <row r="9" spans="1:30" x14ac:dyDescent="0.2">
      <c r="A9" t="s">
        <v>51</v>
      </c>
      <c r="B9" t="s">
        <v>86</v>
      </c>
      <c r="C9">
        <v>6.6</v>
      </c>
      <c r="D9">
        <v>1</v>
      </c>
      <c r="E9" s="1">
        <f>Models!O$86</f>
        <v>3.0000000000000001E-3</v>
      </c>
      <c r="F9" s="4">
        <v>4.0000000000000001E-3</v>
      </c>
      <c r="G9">
        <v>0.05</v>
      </c>
      <c r="H9">
        <v>70</v>
      </c>
      <c r="I9">
        <f t="shared" si="0"/>
        <v>5.1009779797294582E-7</v>
      </c>
      <c r="J9">
        <v>1517</v>
      </c>
      <c r="K9">
        <f t="shared" si="1"/>
        <v>7.7381835952495886E-4</v>
      </c>
      <c r="L9">
        <v>1</v>
      </c>
      <c r="M9" s="1">
        <f t="shared" si="2"/>
        <v>2.1317310179750936E-10</v>
      </c>
      <c r="N9" s="1">
        <f>M9/M$25</f>
        <v>4.8755029788992074E-6</v>
      </c>
      <c r="R9" t="s">
        <v>57</v>
      </c>
      <c r="S9" t="s">
        <v>72</v>
      </c>
      <c r="T9" s="1">
        <v>7.7058420919063986</v>
      </c>
      <c r="U9">
        <v>0.1</v>
      </c>
      <c r="V9" s="1">
        <f>T9*U9</f>
        <v>0.77058420919063986</v>
      </c>
      <c r="AD9"/>
    </row>
    <row r="10" spans="1:30" x14ac:dyDescent="0.2">
      <c r="A10" t="s">
        <v>51</v>
      </c>
      <c r="B10" t="s">
        <v>87</v>
      </c>
      <c r="C10">
        <v>5.5</v>
      </c>
      <c r="D10" t="s">
        <v>103</v>
      </c>
      <c r="E10" s="1">
        <f>Models!O$86</f>
        <v>3.0000000000000001E-3</v>
      </c>
      <c r="F10" s="4">
        <v>4.0000000000000001E-3</v>
      </c>
      <c r="G10">
        <v>0.03</v>
      </c>
      <c r="H10">
        <v>40</v>
      </c>
      <c r="I10">
        <f t="shared" si="0"/>
        <v>5.6245781376557112E-7</v>
      </c>
      <c r="J10">
        <v>3000</v>
      </c>
      <c r="K10">
        <f t="shared" si="1"/>
        <v>1.6873734412967134E-3</v>
      </c>
      <c r="L10">
        <v>1</v>
      </c>
      <c r="M10" s="1">
        <f t="shared" si="2"/>
        <v>6.6937128249786981E-10</v>
      </c>
      <c r="N10" s="1">
        <f>M10/M$25</f>
        <v>1.5309256441311849E-5</v>
      </c>
      <c r="R10" t="s">
        <v>52</v>
      </c>
      <c r="S10" t="s">
        <v>67</v>
      </c>
      <c r="T10" s="1">
        <v>0.36593216220860075</v>
      </c>
      <c r="U10">
        <v>1</v>
      </c>
      <c r="V10" s="1">
        <f>T10*U10</f>
        <v>0.36593216220860075</v>
      </c>
      <c r="AD10"/>
    </row>
    <row r="11" spans="1:30" x14ac:dyDescent="0.2">
      <c r="A11" t="s">
        <v>51</v>
      </c>
      <c r="B11" t="s">
        <v>88</v>
      </c>
      <c r="C11">
        <v>1</v>
      </c>
      <c r="D11" t="s">
        <v>104</v>
      </c>
      <c r="E11" s="1">
        <f>Models!O$86</f>
        <v>3.0000000000000001E-3</v>
      </c>
      <c r="F11" s="4">
        <v>4.0000000000000001E-3</v>
      </c>
      <c r="G11">
        <v>0.25</v>
      </c>
      <c r="H11">
        <v>313</v>
      </c>
      <c r="I11">
        <f t="shared" si="0"/>
        <v>6.3464112707806069E-7</v>
      </c>
      <c r="J11">
        <v>2204</v>
      </c>
      <c r="K11">
        <f t="shared" si="1"/>
        <v>1.3987490440800457E-3</v>
      </c>
      <c r="L11">
        <v>1</v>
      </c>
      <c r="M11" s="1">
        <f t="shared" si="2"/>
        <v>1.6784988528960549E-8</v>
      </c>
      <c r="N11" s="1">
        <f>M11/M$25</f>
        <v>3.8389112361591723E-4</v>
      </c>
      <c r="R11" t="s">
        <v>51</v>
      </c>
      <c r="S11" t="s">
        <v>85</v>
      </c>
      <c r="T11" s="1">
        <v>6.7228968308989398E-3</v>
      </c>
      <c r="U11">
        <v>1</v>
      </c>
      <c r="V11" s="1">
        <f>T11*U11</f>
        <v>6.7228968308989398E-3</v>
      </c>
      <c r="AD11"/>
    </row>
    <row r="12" spans="1:30" x14ac:dyDescent="0.2">
      <c r="A12" t="s">
        <v>50</v>
      </c>
      <c r="B12" t="s">
        <v>66</v>
      </c>
      <c r="C12">
        <v>6</v>
      </c>
      <c r="D12">
        <v>1</v>
      </c>
      <c r="E12" s="1">
        <f>Models!O$86</f>
        <v>3.0000000000000001E-3</v>
      </c>
      <c r="F12" s="4">
        <v>4.0000000000000001E-3</v>
      </c>
      <c r="G12">
        <v>0.05</v>
      </c>
      <c r="H12">
        <v>86</v>
      </c>
      <c r="I12">
        <f t="shared" si="0"/>
        <v>3.3795013656942059E-7</v>
      </c>
      <c r="J12">
        <v>3000</v>
      </c>
      <c r="K12">
        <f t="shared" si="1"/>
        <v>1.0138504097082618E-3</v>
      </c>
      <c r="L12">
        <v>1</v>
      </c>
      <c r="M12" s="1">
        <f t="shared" si="2"/>
        <v>3.3795013656942062E-10</v>
      </c>
      <c r="N12" s="1">
        <f>M12/M$25</f>
        <v>7.7292908142262397E-6</v>
      </c>
      <c r="R12" t="s">
        <v>54</v>
      </c>
      <c r="S12" t="s">
        <v>69</v>
      </c>
      <c r="T12" s="1">
        <v>1.3227628416519262E-3</v>
      </c>
      <c r="U12">
        <v>1</v>
      </c>
      <c r="V12" s="1">
        <f>T12*U12</f>
        <v>1.3227628416519262E-3</v>
      </c>
      <c r="AD12"/>
    </row>
    <row r="13" spans="1:30" x14ac:dyDescent="0.2">
      <c r="A13" t="s">
        <v>52</v>
      </c>
      <c r="B13" t="s">
        <v>67</v>
      </c>
      <c r="C13">
        <v>0.9</v>
      </c>
      <c r="D13">
        <v>1</v>
      </c>
      <c r="E13" s="1">
        <f>Models!O87</f>
        <v>0.03</v>
      </c>
      <c r="F13" s="4">
        <v>4.0000000000000001E-3</v>
      </c>
      <c r="G13">
        <v>0.7</v>
      </c>
      <c r="H13">
        <v>900</v>
      </c>
      <c r="I13">
        <f t="shared" si="0"/>
        <v>5.8063657460620126E-7</v>
      </c>
      <c r="J13">
        <v>186000</v>
      </c>
      <c r="K13">
        <f t="shared" si="1"/>
        <v>0.10799840287675344</v>
      </c>
      <c r="L13">
        <v>1</v>
      </c>
      <c r="M13" s="1">
        <f t="shared" si="2"/>
        <v>1.5999763389148658E-5</v>
      </c>
      <c r="N13" s="1">
        <f>M13/M$25</f>
        <v>0.36593216220860075</v>
      </c>
      <c r="R13" t="s">
        <v>51</v>
      </c>
      <c r="S13" t="s">
        <v>88</v>
      </c>
      <c r="T13" s="1">
        <v>3.8389112361591723E-4</v>
      </c>
      <c r="U13">
        <v>0.1</v>
      </c>
      <c r="V13" s="1">
        <f>T13*U13</f>
        <v>3.8389112361591725E-5</v>
      </c>
      <c r="AD13"/>
    </row>
    <row r="14" spans="1:30" x14ac:dyDescent="0.2">
      <c r="A14" t="s">
        <v>53</v>
      </c>
      <c r="B14" t="s">
        <v>68</v>
      </c>
      <c r="C14">
        <v>5.6</v>
      </c>
      <c r="D14">
        <v>1</v>
      </c>
      <c r="E14">
        <f>Models!O88</f>
        <v>0.02</v>
      </c>
      <c r="F14" s="4">
        <v>4.0000000000000001E-3</v>
      </c>
      <c r="G14">
        <v>0.08</v>
      </c>
      <c r="H14">
        <v>218</v>
      </c>
      <c r="I14">
        <f t="shared" si="0"/>
        <v>1.345969908837876E-7</v>
      </c>
      <c r="J14">
        <v>1149</v>
      </c>
      <c r="K14">
        <f t="shared" si="1"/>
        <v>1.5465194252547196E-4</v>
      </c>
      <c r="L14">
        <v>1</v>
      </c>
      <c r="M14" s="1">
        <f t="shared" si="2"/>
        <v>3.9452026154457142E-10</v>
      </c>
      <c r="N14" s="1">
        <f>M14/M$25</f>
        <v>9.02311170676565E-6</v>
      </c>
      <c r="R14" t="s">
        <v>58</v>
      </c>
      <c r="S14" t="s">
        <v>79</v>
      </c>
      <c r="T14" s="1">
        <v>2.9931125002817349E-3</v>
      </c>
      <c r="U14">
        <v>0.01</v>
      </c>
      <c r="V14" s="1">
        <f>T14*U14</f>
        <v>2.9931125002817351E-5</v>
      </c>
      <c r="AD14"/>
    </row>
    <row r="15" spans="1:30" x14ac:dyDescent="0.2">
      <c r="A15" t="s">
        <v>53</v>
      </c>
      <c r="B15" t="s">
        <v>75</v>
      </c>
      <c r="C15">
        <v>3.7</v>
      </c>
      <c r="D15" t="s">
        <v>104</v>
      </c>
      <c r="E15">
        <f>Models!O88</f>
        <v>0.02</v>
      </c>
      <c r="F15" s="4">
        <v>4.0000000000000001E-3</v>
      </c>
      <c r="G15">
        <v>0.06</v>
      </c>
      <c r="H15">
        <v>182</v>
      </c>
      <c r="I15">
        <f t="shared" si="0"/>
        <v>1.0864992541938235E-7</v>
      </c>
      <c r="J15">
        <v>2357</v>
      </c>
      <c r="K15">
        <f t="shared" si="1"/>
        <v>2.5608787421348421E-4</v>
      </c>
      <c r="L15">
        <v>1</v>
      </c>
      <c r="M15" s="1">
        <f t="shared" si="2"/>
        <v>1.4964959778728077E-9</v>
      </c>
      <c r="N15" s="1">
        <f>M15/M$25</f>
        <v>3.4226506705147554E-5</v>
      </c>
      <c r="R15" t="s">
        <v>93</v>
      </c>
      <c r="S15" t="s">
        <v>94</v>
      </c>
      <c r="T15" s="1">
        <v>2.7384699270992202E-3</v>
      </c>
      <c r="U15">
        <v>0.01</v>
      </c>
      <c r="V15" s="1">
        <f>T15*U15</f>
        <v>2.7384699270992202E-5</v>
      </c>
      <c r="AD15"/>
    </row>
    <row r="16" spans="1:30" x14ac:dyDescent="0.2">
      <c r="A16" t="s">
        <v>54</v>
      </c>
      <c r="B16" t="s">
        <v>74</v>
      </c>
      <c r="C16">
        <v>0.61</v>
      </c>
      <c r="D16" t="s">
        <v>104</v>
      </c>
      <c r="E16">
        <f>Models!O$90</f>
        <v>1</v>
      </c>
      <c r="F16" s="4">
        <v>1</v>
      </c>
      <c r="G16">
        <v>0.43</v>
      </c>
      <c r="H16">
        <v>875</v>
      </c>
      <c r="I16">
        <f t="shared" si="0"/>
        <v>2.3780375595132064E-7</v>
      </c>
      <c r="J16">
        <v>18110</v>
      </c>
      <c r="K16">
        <f t="shared" si="1"/>
        <v>4.306626020278417E-3</v>
      </c>
      <c r="L16">
        <v>1</v>
      </c>
      <c r="M16" s="1">
        <f t="shared" si="2"/>
        <v>1.1573840419990371E-2</v>
      </c>
      <c r="N16" s="1">
        <f>M16/M$25</f>
        <v>264.70644264757044</v>
      </c>
      <c r="R16" t="s">
        <v>53</v>
      </c>
      <c r="S16" t="s">
        <v>68</v>
      </c>
      <c r="T16" s="1">
        <v>9.02311170676565E-6</v>
      </c>
      <c r="U16">
        <v>1</v>
      </c>
      <c r="V16" s="1">
        <f>T16*U16</f>
        <v>9.02311170676565E-6</v>
      </c>
      <c r="AD16"/>
    </row>
    <row r="17" spans="1:30" x14ac:dyDescent="0.2">
      <c r="A17" t="s">
        <v>54</v>
      </c>
      <c r="B17" t="s">
        <v>69</v>
      </c>
      <c r="C17">
        <v>32.9</v>
      </c>
      <c r="D17">
        <v>1</v>
      </c>
      <c r="E17">
        <f>Models!O$90</f>
        <v>1</v>
      </c>
      <c r="F17" s="4">
        <v>1</v>
      </c>
      <c r="G17">
        <v>0.02</v>
      </c>
      <c r="H17">
        <v>38</v>
      </c>
      <c r="I17">
        <f t="shared" si="0"/>
        <v>2.7699907676211042E-7</v>
      </c>
      <c r="J17">
        <v>226</v>
      </c>
      <c r="K17">
        <f t="shared" si="1"/>
        <v>6.2601791348236959E-5</v>
      </c>
      <c r="L17">
        <v>1</v>
      </c>
      <c r="M17" s="1">
        <f t="shared" si="2"/>
        <v>5.7835562631754113E-8</v>
      </c>
      <c r="N17" s="1">
        <f>M17/M$25</f>
        <v>1.3227628416519262E-3</v>
      </c>
      <c r="R17" t="s">
        <v>50</v>
      </c>
      <c r="S17" t="s">
        <v>66</v>
      </c>
      <c r="T17" s="1">
        <v>7.7292908142262397E-6</v>
      </c>
      <c r="U17">
        <v>1</v>
      </c>
      <c r="V17" s="1">
        <f>T17*U17</f>
        <v>7.7292908142262397E-6</v>
      </c>
      <c r="AD17"/>
    </row>
    <row r="18" spans="1:30" x14ac:dyDescent="0.2">
      <c r="A18" t="s">
        <v>54</v>
      </c>
      <c r="B18" t="s">
        <v>70</v>
      </c>
      <c r="C18">
        <v>2.5</v>
      </c>
      <c r="D18">
        <v>1</v>
      </c>
      <c r="E18">
        <f>Models!O$90</f>
        <v>1</v>
      </c>
      <c r="F18" s="4">
        <v>1</v>
      </c>
      <c r="G18">
        <v>0.2</v>
      </c>
      <c r="H18">
        <v>371</v>
      </c>
      <c r="I18">
        <f t="shared" si="0"/>
        <v>2.8964366952809663E-7</v>
      </c>
      <c r="J18">
        <v>14149</v>
      </c>
      <c r="K18">
        <f t="shared" si="1"/>
        <v>4.0981682801530389E-3</v>
      </c>
      <c r="L18">
        <v>1</v>
      </c>
      <c r="M18" s="1">
        <f t="shared" si="2"/>
        <v>6.5570692482448624E-4</v>
      </c>
      <c r="N18" s="1">
        <f>M18/M$25</f>
        <v>14.996737572938823</v>
      </c>
      <c r="R18" t="s">
        <v>56</v>
      </c>
      <c r="S18" t="s">
        <v>76</v>
      </c>
      <c r="T18" s="1">
        <v>6.3356519002870499E-6</v>
      </c>
      <c r="U18">
        <v>1</v>
      </c>
      <c r="V18" s="1">
        <f>T18*U18</f>
        <v>6.3356519002870499E-6</v>
      </c>
      <c r="AD18"/>
    </row>
    <row r="19" spans="1:30" x14ac:dyDescent="0.2">
      <c r="A19" t="s">
        <v>55</v>
      </c>
      <c r="B19" t="s">
        <v>72</v>
      </c>
      <c r="C19">
        <v>0.9</v>
      </c>
      <c r="D19" t="s">
        <v>104</v>
      </c>
      <c r="E19">
        <f>Models!O92</f>
        <v>1</v>
      </c>
      <c r="F19" s="4">
        <v>1</v>
      </c>
      <c r="G19">
        <v>0.27</v>
      </c>
      <c r="H19">
        <v>313</v>
      </c>
      <c r="I19">
        <f t="shared" si="0"/>
        <v>7.3960341810387926E-7</v>
      </c>
      <c r="J19">
        <v>1241</v>
      </c>
      <c r="K19">
        <f t="shared" si="1"/>
        <v>9.1784784186691414E-4</v>
      </c>
      <c r="L19">
        <v>1</v>
      </c>
      <c r="M19" s="1">
        <f t="shared" si="2"/>
        <v>1.1331454837863136E-3</v>
      </c>
      <c r="N19" s="1">
        <f>M19/M$25</f>
        <v>25.916281815771296</v>
      </c>
      <c r="R19" t="s">
        <v>56</v>
      </c>
      <c r="S19" t="s">
        <v>75</v>
      </c>
      <c r="T19" s="1">
        <v>5.4952690153111335E-5</v>
      </c>
      <c r="U19">
        <v>0.1</v>
      </c>
      <c r="V19" s="1">
        <f>T19*U19</f>
        <v>5.4952690153111335E-6</v>
      </c>
      <c r="AD19"/>
    </row>
    <row r="20" spans="1:30" x14ac:dyDescent="0.2">
      <c r="A20" t="s">
        <v>55</v>
      </c>
      <c r="B20" t="s">
        <v>73</v>
      </c>
      <c r="C20">
        <v>0.6</v>
      </c>
      <c r="D20" t="s">
        <v>104</v>
      </c>
      <c r="E20">
        <v>1</v>
      </c>
      <c r="F20" s="4">
        <v>1</v>
      </c>
      <c r="G20">
        <v>0.43</v>
      </c>
      <c r="H20">
        <v>524</v>
      </c>
      <c r="I20">
        <f t="shared" si="0"/>
        <v>6.6308963875294945E-7</v>
      </c>
      <c r="J20">
        <v>2650</v>
      </c>
      <c r="K20">
        <f t="shared" si="1"/>
        <v>1.7571875426953161E-3</v>
      </c>
      <c r="L20">
        <v>1</v>
      </c>
      <c r="M20" s="1">
        <f t="shared" si="2"/>
        <v>4.8810765074869897E-3</v>
      </c>
      <c r="N20" s="1">
        <f>M20/M$25</f>
        <v>111.63558090500985</v>
      </c>
      <c r="R20" t="s">
        <v>51</v>
      </c>
      <c r="S20" t="s">
        <v>86</v>
      </c>
      <c r="T20" s="1">
        <v>4.8755029788992074E-6</v>
      </c>
      <c r="U20">
        <v>1</v>
      </c>
      <c r="V20" s="1">
        <f>T20*U20</f>
        <v>4.8755029788992074E-6</v>
      </c>
      <c r="AD20"/>
    </row>
    <row r="21" spans="1:30" x14ac:dyDescent="0.2">
      <c r="A21" t="s">
        <v>56</v>
      </c>
      <c r="B21" t="s">
        <v>75</v>
      </c>
      <c r="C21">
        <v>3.8</v>
      </c>
      <c r="D21" t="s">
        <v>104</v>
      </c>
      <c r="E21">
        <f>Models!O89</f>
        <v>0.02</v>
      </c>
      <c r="F21" s="4">
        <v>4.0000000000000001E-3</v>
      </c>
      <c r="G21">
        <v>0.06</v>
      </c>
      <c r="H21">
        <v>212</v>
      </c>
      <c r="I21">
        <f t="shared" si="0"/>
        <v>8.0075652580803243E-8</v>
      </c>
      <c r="J21">
        <v>5416</v>
      </c>
      <c r="K21">
        <f t="shared" si="1"/>
        <v>4.3368973437763034E-4</v>
      </c>
      <c r="L21">
        <v>1</v>
      </c>
      <c r="M21" s="1">
        <f t="shared" si="2"/>
        <v>2.4027132098483678E-9</v>
      </c>
      <c r="N21" s="1">
        <f>M21/M$25</f>
        <v>5.4952690153111335E-5</v>
      </c>
      <c r="R21" t="s">
        <v>53</v>
      </c>
      <c r="S21" t="s">
        <v>75</v>
      </c>
      <c r="T21" s="1">
        <v>3.4226506705147554E-5</v>
      </c>
      <c r="U21">
        <v>0.1</v>
      </c>
      <c r="V21" s="1">
        <f>T21*U21</f>
        <v>3.4226506705147557E-6</v>
      </c>
      <c r="AD21"/>
    </row>
    <row r="22" spans="1:30" x14ac:dyDescent="0.2">
      <c r="A22" t="s">
        <v>56</v>
      </c>
      <c r="B22" t="s">
        <v>76</v>
      </c>
      <c r="C22">
        <v>5.6</v>
      </c>
      <c r="D22">
        <v>1</v>
      </c>
      <c r="E22">
        <f>Models!O89</f>
        <v>0.02</v>
      </c>
      <c r="F22" s="4">
        <v>4.0000000000000001E-3</v>
      </c>
      <c r="G22">
        <v>0.08</v>
      </c>
      <c r="H22">
        <v>245</v>
      </c>
      <c r="I22">
        <f t="shared" si="0"/>
        <v>1.0656538766782378E-7</v>
      </c>
      <c r="J22">
        <v>1019</v>
      </c>
      <c r="K22">
        <f t="shared" si="1"/>
        <v>1.0859013003351243E-4</v>
      </c>
      <c r="L22">
        <v>1</v>
      </c>
      <c r="M22" s="1">
        <f t="shared" si="2"/>
        <v>2.7701563784059296E-10</v>
      </c>
      <c r="N22" s="1">
        <f>M22/M$25</f>
        <v>6.3356519002870499E-6</v>
      </c>
      <c r="R22" t="s">
        <v>93</v>
      </c>
      <c r="S22" t="s">
        <v>105</v>
      </c>
      <c r="T22">
        <v>1.2909429594737154E-4</v>
      </c>
      <c r="U22">
        <v>0.01</v>
      </c>
      <c r="V22" s="1">
        <f>T22*U22</f>
        <v>1.2909429594737155E-6</v>
      </c>
      <c r="AD22"/>
    </row>
    <row r="23" spans="1:30" x14ac:dyDescent="0.2">
      <c r="A23" t="s">
        <v>57</v>
      </c>
      <c r="B23" t="s">
        <v>72</v>
      </c>
      <c r="C23">
        <v>0.9</v>
      </c>
      <c r="D23" t="s">
        <v>104</v>
      </c>
      <c r="E23">
        <f>Models!O93</f>
        <v>1</v>
      </c>
      <c r="F23" s="4">
        <v>1</v>
      </c>
      <c r="G23">
        <v>0.27</v>
      </c>
      <c r="H23">
        <v>296</v>
      </c>
      <c r="I23">
        <f t="shared" si="0"/>
        <v>8.2699743503719586E-7</v>
      </c>
      <c r="J23">
        <v>330</v>
      </c>
      <c r="K23">
        <f t="shared" si="1"/>
        <v>2.7290915356227466E-4</v>
      </c>
      <c r="L23">
        <v>1</v>
      </c>
      <c r="M23" s="1">
        <f t="shared" si="2"/>
        <v>3.369248809410798E-4</v>
      </c>
      <c r="N23" s="1">
        <f>M23/M$25</f>
        <v>7.7058420919063986</v>
      </c>
      <c r="R23" t="s">
        <v>53</v>
      </c>
      <c r="S23" t="s">
        <v>91</v>
      </c>
      <c r="T23" s="1">
        <v>9.2908207255867998E-5</v>
      </c>
      <c r="U23">
        <v>0.01</v>
      </c>
      <c r="V23" s="1">
        <f>T23*U23</f>
        <v>9.2908207255867996E-7</v>
      </c>
      <c r="AD23"/>
    </row>
    <row r="24" spans="1:30" x14ac:dyDescent="0.2">
      <c r="A24" t="s">
        <v>57</v>
      </c>
      <c r="B24" t="s">
        <v>73</v>
      </c>
      <c r="C24">
        <v>0.6</v>
      </c>
      <c r="D24" t="s">
        <v>104</v>
      </c>
      <c r="E24">
        <f>Models!O93</f>
        <v>1</v>
      </c>
      <c r="F24" s="4">
        <v>1</v>
      </c>
      <c r="G24">
        <v>0.43</v>
      </c>
      <c r="H24">
        <v>477</v>
      </c>
      <c r="I24">
        <f t="shared" si="0"/>
        <v>8.0019909835770317E-7</v>
      </c>
      <c r="J24">
        <v>3758</v>
      </c>
      <c r="K24">
        <f t="shared" si="1"/>
        <v>3.0071482116282486E-3</v>
      </c>
      <c r="L24">
        <v>1</v>
      </c>
      <c r="M24" s="1">
        <f t="shared" si="2"/>
        <v>8.3531894767451351E-3</v>
      </c>
      <c r="N24" s="1">
        <f>M24/M$25</f>
        <v>191.04661814165263</v>
      </c>
      <c r="R24" t="s">
        <v>51</v>
      </c>
      <c r="S24" t="s">
        <v>87</v>
      </c>
      <c r="T24" s="1">
        <v>1.5309256441311849E-5</v>
      </c>
      <c r="U24">
        <v>3.0000000000000001E-3</v>
      </c>
      <c r="V24" s="1">
        <f>T24*U24</f>
        <v>4.592776932393555E-8</v>
      </c>
      <c r="AD24"/>
    </row>
    <row r="25" spans="1:30" x14ac:dyDescent="0.2">
      <c r="A25" t="s">
        <v>57</v>
      </c>
      <c r="B25" t="s">
        <v>77</v>
      </c>
      <c r="C25">
        <v>4.5</v>
      </c>
      <c r="D25">
        <v>1</v>
      </c>
      <c r="E25">
        <f>Models!O93</f>
        <v>1</v>
      </c>
      <c r="F25" s="4">
        <v>1</v>
      </c>
      <c r="G25">
        <v>5.7000000000000002E-2</v>
      </c>
      <c r="H25">
        <v>51</v>
      </c>
      <c r="I25">
        <f t="shared" si="0"/>
        <v>1.2487967814349915E-6</v>
      </c>
      <c r="J25">
        <v>709</v>
      </c>
      <c r="K25">
        <f t="shared" si="1"/>
        <v>8.85396918037409E-4</v>
      </c>
      <c r="L25">
        <v>1</v>
      </c>
      <c r="M25" s="1">
        <f t="shared" si="2"/>
        <v>4.372330459443995E-5</v>
      </c>
      <c r="N25" s="1">
        <f>M25/M$25</f>
        <v>1</v>
      </c>
      <c r="R25" t="s">
        <v>53</v>
      </c>
      <c r="S25" t="s">
        <v>92</v>
      </c>
      <c r="T25" s="1">
        <v>4.0675999491526831E-6</v>
      </c>
      <c r="U25">
        <v>0.01</v>
      </c>
      <c r="V25" s="1">
        <f>T25*U25</f>
        <v>4.067599949152683E-8</v>
      </c>
      <c r="AD25"/>
    </row>
    <row r="26" spans="1:30" x14ac:dyDescent="0.2">
      <c r="A26" t="s">
        <v>58</v>
      </c>
      <c r="B26" t="s">
        <v>79</v>
      </c>
      <c r="C26">
        <v>0.2</v>
      </c>
      <c r="D26">
        <v>0.01</v>
      </c>
      <c r="E26">
        <f>Models!O95</f>
        <v>0.03</v>
      </c>
      <c r="F26" s="5">
        <v>5.0000000000000004E-6</v>
      </c>
      <c r="G26">
        <v>0.5</v>
      </c>
      <c r="H26">
        <v>224</v>
      </c>
      <c r="I26">
        <f t="shared" si="0"/>
        <v>4.8795216083237894E-6</v>
      </c>
      <c r="J26">
        <v>7152</v>
      </c>
      <c r="K26">
        <f t="shared" si="1"/>
        <v>3.4898338542731742E-2</v>
      </c>
      <c r="L26">
        <v>1</v>
      </c>
      <c r="M26" s="1">
        <f t="shared" si="2"/>
        <v>1.3086876953524402E-7</v>
      </c>
      <c r="N26" s="1">
        <f>M26/M$25</f>
        <v>2.9931125002817349E-3</v>
      </c>
      <c r="R26" t="s">
        <v>59</v>
      </c>
      <c r="S26" t="s">
        <v>78</v>
      </c>
      <c r="T26" s="1">
        <v>8.7958832543563947E-10</v>
      </c>
      <c r="U26">
        <v>1</v>
      </c>
      <c r="V26" s="1">
        <f>T26*U26</f>
        <v>8.7958832543563947E-10</v>
      </c>
      <c r="AD26"/>
    </row>
    <row r="27" spans="1:30" x14ac:dyDescent="0.2">
      <c r="A27" t="s">
        <v>59</v>
      </c>
      <c r="B27" t="s">
        <v>78</v>
      </c>
      <c r="C27">
        <v>26</v>
      </c>
      <c r="D27">
        <v>1</v>
      </c>
      <c r="E27">
        <f>Models!O96</f>
        <v>0.03</v>
      </c>
      <c r="F27" s="5">
        <v>5.0000000000000004E-6</v>
      </c>
      <c r="G27">
        <v>2.5000000000000001E-2</v>
      </c>
      <c r="H27">
        <v>142</v>
      </c>
      <c r="I27">
        <f t="shared" si="0"/>
        <v>3.0994219827154771E-8</v>
      </c>
      <c r="J27">
        <v>5592</v>
      </c>
      <c r="K27">
        <f t="shared" si="1"/>
        <v>1.7331967727344949E-4</v>
      </c>
      <c r="L27">
        <v>1</v>
      </c>
      <c r="M27" s="1">
        <f t="shared" si="2"/>
        <v>3.8458508270735837E-14</v>
      </c>
      <c r="N27" s="1">
        <f>M27/M$25</f>
        <v>8.7958832543563947E-10</v>
      </c>
      <c r="R27" t="s">
        <v>59</v>
      </c>
      <c r="S27" t="s">
        <v>80</v>
      </c>
      <c r="T27" s="1">
        <v>3.1051275253065925E-10</v>
      </c>
      <c r="U27">
        <v>1</v>
      </c>
      <c r="V27" s="1">
        <f>T27*U27</f>
        <v>3.1051275253065925E-10</v>
      </c>
      <c r="AD27"/>
    </row>
    <row r="28" spans="1:30" x14ac:dyDescent="0.2">
      <c r="A28" t="s">
        <v>59</v>
      </c>
      <c r="B28" t="s">
        <v>80</v>
      </c>
      <c r="C28">
        <v>14</v>
      </c>
      <c r="D28">
        <v>1</v>
      </c>
      <c r="E28">
        <f>Models!O96</f>
        <v>0.03</v>
      </c>
      <c r="F28" s="5">
        <v>5.0000000000000004E-6</v>
      </c>
      <c r="G28">
        <v>0.08</v>
      </c>
      <c r="H28">
        <v>551</v>
      </c>
      <c r="I28">
        <f t="shared" si="0"/>
        <v>2.1069059043814487E-8</v>
      </c>
      <c r="J28">
        <v>842</v>
      </c>
      <c r="K28">
        <f t="shared" si="1"/>
        <v>1.7740147714891798E-5</v>
      </c>
      <c r="L28">
        <v>1</v>
      </c>
      <c r="M28" s="1">
        <f t="shared" si="2"/>
        <v>1.3576643659355968E-14</v>
      </c>
      <c r="N28" s="1">
        <f>M28/M$25</f>
        <v>3.1051275253065925E-10</v>
      </c>
      <c r="R28" t="s">
        <v>42</v>
      </c>
      <c r="S28" t="s">
        <v>82</v>
      </c>
      <c r="T28" s="1">
        <v>1.990899622636344E-11</v>
      </c>
      <c r="U28">
        <v>1</v>
      </c>
      <c r="V28" s="1">
        <f>T28*U28</f>
        <v>1.990899622636344E-11</v>
      </c>
      <c r="AD28"/>
    </row>
    <row r="29" spans="1:30" x14ac:dyDescent="0.2">
      <c r="A29" t="s">
        <v>53</v>
      </c>
      <c r="B29" t="s">
        <v>91</v>
      </c>
      <c r="C29">
        <v>7.2</v>
      </c>
      <c r="D29" t="s">
        <v>102</v>
      </c>
      <c r="E29">
        <f>Models!O89</f>
        <v>0.02</v>
      </c>
      <c r="F29" s="1">
        <v>4.0000000000000001E-3</v>
      </c>
      <c r="G29">
        <v>0.08</v>
      </c>
      <c r="H29">
        <v>270</v>
      </c>
      <c r="I29">
        <f t="shared" si="0"/>
        <v>8.7744683055708124E-8</v>
      </c>
      <c r="J29">
        <v>30000</v>
      </c>
      <c r="K29">
        <f t="shared" si="1"/>
        <v>2.6323404916712436E-3</v>
      </c>
      <c r="L29">
        <v>1</v>
      </c>
      <c r="M29" s="1">
        <f t="shared" si="2"/>
        <v>4.0622538451716724E-9</v>
      </c>
      <c r="N29" s="1">
        <f>M29/M$25</f>
        <v>9.2908207255867998E-5</v>
      </c>
      <c r="R29" t="s">
        <v>49</v>
      </c>
      <c r="S29" t="s">
        <v>84</v>
      </c>
      <c r="T29" s="1">
        <v>1.2073503612266831E-11</v>
      </c>
      <c r="U29">
        <v>1</v>
      </c>
      <c r="V29" s="1">
        <f>T29*U29</f>
        <v>1.2073503612266831E-11</v>
      </c>
      <c r="AD29"/>
    </row>
    <row r="30" spans="1:30" x14ac:dyDescent="0.2">
      <c r="A30" t="s">
        <v>53</v>
      </c>
      <c r="B30" t="s">
        <v>92</v>
      </c>
      <c r="C30">
        <v>7</v>
      </c>
      <c r="D30" t="s">
        <v>102</v>
      </c>
      <c r="E30">
        <f>Models!O89</f>
        <v>0.02</v>
      </c>
      <c r="F30" s="1">
        <v>4.0000000000000001E-3</v>
      </c>
      <c r="G30">
        <v>2.5000000000000001E-2</v>
      </c>
      <c r="H30">
        <v>82</v>
      </c>
      <c r="I30">
        <f t="shared" si="0"/>
        <v>9.2945783550676498E-8</v>
      </c>
      <c r="J30">
        <v>1172</v>
      </c>
      <c r="K30">
        <f t="shared" si="1"/>
        <v>1.0893245832139286E-4</v>
      </c>
      <c r="L30">
        <v>1</v>
      </c>
      <c r="M30" s="1">
        <f t="shared" si="2"/>
        <v>1.7784891154513121E-10</v>
      </c>
      <c r="N30" s="1">
        <f>M30/M$25</f>
        <v>4.0675999491526831E-6</v>
      </c>
      <c r="R30" t="s">
        <v>7</v>
      </c>
      <c r="S30" t="s">
        <v>81</v>
      </c>
      <c r="T30" s="1">
        <v>7.0868358694795038E-12</v>
      </c>
      <c r="U30">
        <v>1</v>
      </c>
      <c r="V30" s="1">
        <f>T30*U30</f>
        <v>7.0868358694795038E-12</v>
      </c>
      <c r="AD30"/>
    </row>
    <row r="31" spans="1:30" x14ac:dyDescent="0.2">
      <c r="A31" t="s">
        <v>93</v>
      </c>
      <c r="B31" t="s">
        <v>94</v>
      </c>
      <c r="C31">
        <v>2.7</v>
      </c>
      <c r="D31" t="s">
        <v>102</v>
      </c>
      <c r="E31">
        <f>Models!O95</f>
        <v>0.03</v>
      </c>
      <c r="F31" s="1">
        <v>4.0000000000000001E-3</v>
      </c>
      <c r="G31">
        <v>0.1</v>
      </c>
      <c r="H31">
        <v>203</v>
      </c>
      <c r="I31">
        <f t="shared" si="0"/>
        <v>2.4246328335917782E-7</v>
      </c>
      <c r="J31">
        <v>30000</v>
      </c>
      <c r="K31">
        <f t="shared" si="1"/>
        <v>7.2738985007753344E-3</v>
      </c>
      <c r="L31">
        <v>1</v>
      </c>
      <c r="M31" s="1">
        <f t="shared" si="2"/>
        <v>1.1973495474527297E-7</v>
      </c>
      <c r="N31" s="1">
        <f>M31/M$25</f>
        <v>2.7384699270992202E-3</v>
      </c>
      <c r="R31" t="s">
        <v>41</v>
      </c>
      <c r="S31" t="s">
        <v>81</v>
      </c>
      <c r="T31" s="1">
        <v>2.3226713738048333E-12</v>
      </c>
      <c r="U31">
        <v>1</v>
      </c>
      <c r="V31" s="1">
        <f>T31*U31</f>
        <v>2.3226713738048333E-12</v>
      </c>
      <c r="AD31"/>
    </row>
    <row r="32" spans="1:30" x14ac:dyDescent="0.2">
      <c r="A32" t="s">
        <v>93</v>
      </c>
      <c r="B32" t="s">
        <v>105</v>
      </c>
      <c r="C32">
        <v>3.6</v>
      </c>
      <c r="D32" t="s">
        <v>102</v>
      </c>
      <c r="E32">
        <v>0.03</v>
      </c>
      <c r="F32" s="1">
        <v>4.0000000000000001E-3</v>
      </c>
      <c r="G32">
        <v>0.05</v>
      </c>
      <c r="H32">
        <v>63</v>
      </c>
      <c r="I32">
        <f t="shared" si="0"/>
        <v>6.2975036786783443E-7</v>
      </c>
      <c r="J32">
        <v>968</v>
      </c>
      <c r="K32">
        <f t="shared" si="1"/>
        <v>6.095983560960637E-4</v>
      </c>
      <c r="L32">
        <v>1</v>
      </c>
      <c r="M32" s="1">
        <f t="shared" si="2"/>
        <v>5.6444292231117004E-9</v>
      </c>
      <c r="N32" s="1">
        <f>M32/M$25</f>
        <v>1.2909429594737154E-4</v>
      </c>
      <c r="R32" t="s">
        <v>49</v>
      </c>
      <c r="S32" t="s">
        <v>83</v>
      </c>
      <c r="T32" s="1">
        <v>2.7091529676551238E-12</v>
      </c>
      <c r="U32">
        <v>0.01</v>
      </c>
      <c r="V32" s="1">
        <f>T32*U32</f>
        <v>2.7091529676551239E-14</v>
      </c>
      <c r="AD32"/>
    </row>
    <row r="33" spans="1:30" x14ac:dyDescent="0.2">
      <c r="M33" s="1"/>
      <c r="N33" s="1"/>
      <c r="AD33"/>
    </row>
    <row r="34" spans="1:30" x14ac:dyDescent="0.2">
      <c r="A34" t="s">
        <v>127</v>
      </c>
      <c r="B34" t="s">
        <v>128</v>
      </c>
      <c r="C34">
        <v>22</v>
      </c>
      <c r="D34">
        <v>1</v>
      </c>
      <c r="E34">
        <v>0.02</v>
      </c>
      <c r="F34" s="1">
        <v>4.0000000000000001E-3</v>
      </c>
      <c r="G34">
        <v>0.01</v>
      </c>
      <c r="K34" s="1">
        <v>2.9999999999999997E-4</v>
      </c>
      <c r="L34">
        <v>1</v>
      </c>
      <c r="M34" s="1">
        <f t="shared" si="2"/>
        <v>4.958677685950413E-11</v>
      </c>
      <c r="N34" s="1">
        <f>M34/M$25</f>
        <v>1.1341040509049219E-6</v>
      </c>
      <c r="AD34"/>
    </row>
    <row r="35" spans="1:30" x14ac:dyDescent="0.2">
      <c r="M35" s="1"/>
      <c r="N35" s="1"/>
      <c r="AD35"/>
    </row>
    <row r="36" spans="1:30" x14ac:dyDescent="0.2">
      <c r="M36" s="1"/>
      <c r="N36" s="1"/>
      <c r="AD36"/>
    </row>
    <row r="40" spans="1:30" x14ac:dyDescent="0.2">
      <c r="A40" t="s">
        <v>125</v>
      </c>
    </row>
  </sheetData>
  <sortState ref="R3:V32">
    <sortCondition descending="1" ref="V3:V32"/>
  </sortState>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Models</vt:lpstr>
      <vt:lpstr>Full Weighting calculation</vt:lpstr>
      <vt:lpstr>No optic BRDF, for stray beams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2018-02-12T18:56:12Z</dcterms:created>
  <dcterms:modified xsi:type="dcterms:W3CDTF">2018-03-25T23:01:17Z</dcterms:modified>
</cp:coreProperties>
</file>